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A7F54FC8-F069-6C48-A8DC-6C6291EDE5CD}" xr6:coauthVersionLast="45" xr6:coauthVersionMax="45" xr10:uidLastSave="{00000000-0000-0000-0000-000000000000}"/>
  <bookViews>
    <workbookView xWindow="144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<sst xmlns="http://schemas.openxmlformats.org/spreadsheetml/2006/main" count="1385" uniqueCount="752">
  <si>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</si>
  <si>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</si>
  <si>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</si>
  <si>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</si>
  <si>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</si>
  <si>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</si>
  <si>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</si>
  <si>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</si>
  <si>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</si>
  <si>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</si>
  <si>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</si>
  <si>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</si>
  <si>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</si>
  <si>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</si>
  <si>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</si>
  <si>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</si>
  <si>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</si>
  <si>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</si>
  <si>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</si>
  <si>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</si>
  <si>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</si>
  <si>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</si>
  <si>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</si>
  <si>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</si>
  <si>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</si>
  <si>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</si>
  <si>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</si>
  <si>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</si>
  <si>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</si>
  <si>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</si>
  <si>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</si>
  <si>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</si>
  <si>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</si>
  <si>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</si>
  <si>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</si>
  <si>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</si>
  <si>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</si>
  <si>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</si>
  <si>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</si>
  <si>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</si>
  <si>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</si>
  <si>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</si>
  <si>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</si>
  <si>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</si>
  <si>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</si>
  <si>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</si>
  <si>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</si>
  <si>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</si>
  <si>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</si>
  <si>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</si>
  <si>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</si>
  <si>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</si>
  <si>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</si>
  <si>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</si>
  <si>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</si>
  <si>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</si>
  <si>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</si>
  <si>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</si>
  <si>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</si>
  <si>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</si>
  <si>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</si>
  <si>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</si>
  <si>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</si>
  <si>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</si>
  <si>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</si>
  <si>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</si>
  <si>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</si>
  <si>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</si>
  <si>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</si>
  <si>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</si>
  <si>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</si>
  <si>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</si>
  <si>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</si>
  <si>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</si>
  <si>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</si>
  <si>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</si>
  <si>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</si>
  <si>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</si>
  <si>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</si>
  <si>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</si>
  <si>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</si>
  <si>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</si>
  <si>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</si>
  <si>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</si>
  <si>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</si>
  <si>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</si>
  <si>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</si>
  <si>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</si>
  <si>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</si>
  <si>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</si>
  <si>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</si>
  <si>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</si>
  <si>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</si>
  <si>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</si>
  <si>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</si>
  <si>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</si>
  <si>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</si>
  <si>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</si>
  <si>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</si>
  <si>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</si>
  <si>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</si>
  <si>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</si>
  <si>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</si>
  <si>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</si>
  <si>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</si>
  <si>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</si>
  <si>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</si>
  <si>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</si>
  <si>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</si>
  <si>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</si>
  <si>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</si>
  <si>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</si>
  <si>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</si>
  <si>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</si>
  <si>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</si>
  <si>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</si>
  <si>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</si>
  <si>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</si>
  <si>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</si>
  <si>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</si>
  <si>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</si>
  <si>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</si>
  <si>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</si>
  <si>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</si>
  <si>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</si>
  <si>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</si>
  <si>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</si>
  <si>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</si>
  <si>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</si>
  <si>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</si>
  <si>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</si>
  <si>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</si>
  <si>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</si>
  <si>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</si>
  <si>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</si>
  <si>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</si>
  <si>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</si>
  <si>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</si>
  <si>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</si>
  <si>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</si>
  <si>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</si>
  <si>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</si>
  <si>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</si>
  <si>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</si>
  <si>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</si>
  <si>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</si>
  <si>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</si>
  <si>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</si>
  <si>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</si>
  <si>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</si>
  <si>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</si>
  <si>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</si>
  <si>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</si>
  <si>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</si>
  <si>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</si>
  <si>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</si>
  <si>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</si>
  <si>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</si>
  <si>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</si>
  <si>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</si>
  <si>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</si>
  <si>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</si>
  <si>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</si>
  <si>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</si>
  <si>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</si>
  <si>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</si>
  <si>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</si>
  <si>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</si>
  <si>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</si>
  <si>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</si>
  <si>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</si>
  <si>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</si>
  <si>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</si>
  <si>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</si>
  <si>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</si>
  <si>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</si>
  <si>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</si>
  <si>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</si>
  <si>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</si>
  <si>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</si>
  <si>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</si>
  <si>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</si>
  <si>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</si>
  <si>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</si>
  <si>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</si>
  <si>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</si>
  <si>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</si>
  <si>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</si>
  <si>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</si>
  <si>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</si>
  <si>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</si>
  <si>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</si>
  <si>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</si>
  <si>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</si>
  <si>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</si>
  <si>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</si>
  <si>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</si>
  <si>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</si>
  <si>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</si>
  <si>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</si>
  <si>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</si>
  <si>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</si>
  <si>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</si>
  <si>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</si>
  <si>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</si>
  <si>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</si>
  <si>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</si>
  <si>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</si>
  <si>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</si>
  <si>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</si>
  <si>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</si>
  <si>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</si>
  <si>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</si>
  <si>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</si>
  <si>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</si>
  <si>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</si>
  <si>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</si>
  <si>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</si>
  <si>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</si>
  <si>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</si>
  <si>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</si>
  <si>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</si>
  <si>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</si>
  <si>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</si>
  <si>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</si>
  <si>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</si>
  <si>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</si>
  <si>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</si>
  <si>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</si>
  <si>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</si>
  <si>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</si>
  <si>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</si>
  <si>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</si>
  <si>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</si>
  <si>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</si>
  <si>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</si>
  <si>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</si>
  <si>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</si>
  <si>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</si>
  <si>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</si>
  <si>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</si>
  <si>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</si>
  <si>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</si>
  <si>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</si>
  <si>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</si>
  <si>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</si>
  <si>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</si>
  <si>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</si>
  <si>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</si>
  <si>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</si>
  <si>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</si>
  <si>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</si>
  <si>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</si>
  <si>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</si>
  <si>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</si>
  <si>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</si>
  <si>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</si>
  <si>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</si>
  <si>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</si>
  <si>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</si>
  <si>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</si>
  <si>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</si>
  <si>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</si>
  <si>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</si>
  <si>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</si>
  <si>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</si>
  <si>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</si>
  <si>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</si>
  <si>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</si>
  <si>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</si>
  <si>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</si>
  <si>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</si>
  <si>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</si>
  <si>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</si>
  <si>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</si>
  <si>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</si>
  <si>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</si>
  <si>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</si>
  <si>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</si>
  <si>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</si>
  <si>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</si>
  <si>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</si>
  <si>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</si>
  <si>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</si>
  <si>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</si>
  <si>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</si>
  <si>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</si>
  <si>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</si>
  <si>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</si>
  <si>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</si>
  <si>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</si>
  <si>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</si>
  <si>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</si>
  <si>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</si>
  <si>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</si>
  <si>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</si>
  <si>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</si>
  <si>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</si>
  <si>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</si>
  <si>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</si>
  <si>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</si>
  <si>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</si>
  <si>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</si>
  <si>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</si>
  <si>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</si>
  <si>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</si>
  <si>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</si>
  <si>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</si>
  <si>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</si>
  <si>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</si>
  <si>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</si>
  <si>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</si>
  <si>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</si>
  <si>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</si>
  <si>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</si>
  <si>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</si>
  <si>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</si>
  <si>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</si>
  <si>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</si>
  <si>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</si>
  <si>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</si>
  <si>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</si>
  <si>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</si>
  <si>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</si>
  <si>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</si>
  <si>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</si>
  <si>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</si>
  <si>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</si>
  <si>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</si>
  <si>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</si>
  <si>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</si>
  <si>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</si>
  <si>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</si>
  <si>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</si>
  <si>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</si>
  <si>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</si>
  <si>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</si>
  <si>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</si>
  <si>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</si>
  <si>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</si>
  <si>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</si>
  <si>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</si>
  <si>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</si>
  <si>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</si>
  <si>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</si>
  <si>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</si>
  <si>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</si>
  <si>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</si>
  <si>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</si>
  <si>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</si>
  <si>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</si>
  <si>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</si>
  <si>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</si>
  <si>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</si>
  <si>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</si>
  <si>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</si>
  <si>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</si>
  <si>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</si>
  <si>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</si>
  <si>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</si>
  <si>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</si>
  <si>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</si>
  <si>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</si>
  <si>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</si>
  <si>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</si>
  <si>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</si>
  <si>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</si>
  <si>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</si>
  <si>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</si>
  <si>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</si>
  <si>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</si>
  <si>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</si>
  <si>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</si>
  <si>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</si>
  <si>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</si>
  <si>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</si>
  <si>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</si>
  <si>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</si>
  <si>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</si>
  <si>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</si>
  <si>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</si>
  <si>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</si>
  <si>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</si>
  <si>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</si>
  <si>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</si>
  <si>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</si>
  <si>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</si>
  <si>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</si>
  <si>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</si>
  <si>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</si>
  <si>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</si>
  <si>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</si>
  <si>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</si>
  <si>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</si>
  <si>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</si>
  <si>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</si>
  <si>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</si>
  <si>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</si>
  <si>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</si>
  <si>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</si>
  <si>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</si>
  <si>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</si>
  <si>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</si>
  <si>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</si>
  <si>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</si>
  <si>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</si>
  <si>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</si>
  <si>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</si>
  <si>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</si>
  <si>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</si>
  <si>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</si>
  <si>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</si>
  <si>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</si>
  <si>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</si>
  <si>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</si>
  <si>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</si>
  <si>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</si>
  <si>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</si>
  <si>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</si>
  <si>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</si>
  <si>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</si>
  <si>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</si>
  <si>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</si>
  <si>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</si>
  <si>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</si>
  <si>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</si>
  <si>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</si>
  <si>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</si>
  <si>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</si>
  <si>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</si>
  <si>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</si>
  <si>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</si>
  <si>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</si>
  <si>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</si>
  <si>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</si>
  <si>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</si>
  <si>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</si>
  <si>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</si>
  <si>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</si>
  <si>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</si>
  <si>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</si>
  <si>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</si>
  <si>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</si>
  <si>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</si>
  <si>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</si>
  <si>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</si>
  <si>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</si>
  <si>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</si>
  <si>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</si>
  <si>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</si>
  <si>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</si>
  <si>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</si>
  <si>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</si>
  <si>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</si>
  <si>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</si>
  <si>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</si>
  <si>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</si>
  <si>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</si>
  <si>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</si>
  <si>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</si>
  <si>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</si>
  <si>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</si>
  <si>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</si>
  <si>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</si>
  <si>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</si>
  <si>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</si>
  <si>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</si>
  <si>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</si>
  <si>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</si>
  <si>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</si>
  <si>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</si>
  <si>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</si>
  <si>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</si>
  <si>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</si>
  <si>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</si>
  <si>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</si>
  <si>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</si>
  <si>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</si>
  <si>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</si>
  <si>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</si>
  <si>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</si>
  <si>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</si>
  <si>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</si>
  <si>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</si>
  <si>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</si>
  <si>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</si>
  <si>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</si>
  <si>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</si>
  <si>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</si>
  <si>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</si>
  <si>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</si>
  <si>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</si>
  <si>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</si>
  <si>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</si>
  <si>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</si>
  <si>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</si>
  <si>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</si>
  <si>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</si>
  <si>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</si>
  <si>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</si>
  <si>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</si>
  <si>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</si>
  <si>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</si>
  <si>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</si>
  <si>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</si>
  <si>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</si>
  <si>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</si>
  <si>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</si>
  <si>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</si>
  <si>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</si>
  <si>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</si>
  <si>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</si>
  <si>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</si>
  <si>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</si>
  <si>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</si>
  <si>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</si>
  <si>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</si>
  <si>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</si>
  <si>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</si>
  <si>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</si>
  <si>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</si>
  <si>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</si>
  <si>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</si>
  <si>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</si>
  <si>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</si>
  <si>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</si>
  <si>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</si>
  <si>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</si>
  <si>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</si>
  <si>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</si>
  <si>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</si>
  <si>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</si>
  <si>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</si>
  <si>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</si>
  <si>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</si>
  <si>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</si>
  <si>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</si>
  <si>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</si>
  <si>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</si>
  <si>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</si>
  <si>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</si>
  <si>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</si>
  <si>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</si>
  <si>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</si>
  <si>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</si>
  <si>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</si>
  <si>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</si>
  <si>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</si>
  <si>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</si>
  <si>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</si>
  <si>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</si>
  <si>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</si>
  <si>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</si>
  <si>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</si>
  <si>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</si>
  <si>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</si>
  <si>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</si>
  <si>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</si>
  <si>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</si>
  <si>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</si>
  <si>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</si>
  <si>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</si>
  <si>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</si>
  <si>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</si>
  <si>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</si>
  <si>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</si>
  <si>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</si>
  <si>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</si>
  <si>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</si>
  <si>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</si>
  <si>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</si>
  <si>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</si>
  <si>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</si>
  <si>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</si>
  <si>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</si>
  <si>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</si>
  <si>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</si>
  <si>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</si>
  <si>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</si>
  <si>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</si>
  <si>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</si>
  <si>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</si>
  <si>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</si>
  <si>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</si>
  <si>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</si>
  <si>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</si>
  <si>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</si>
  <si>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</si>
  <si>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</si>
  <si>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</si>
  <si>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</si>
  <si>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</si>
  <si>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</si>
  <si>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</si>
  <si>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</si>
  <si>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</si>
  <si>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</si>
  <si>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</si>
  <si>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</si>
  <si>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</si>
  <si>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</si>
  <si>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</si>
  <si>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</si>
  <si>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</si>
  <si>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</si>
  <si>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</si>
  <si>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</si>
  <si>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</si>
  <si>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</si>
  <si>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</si>
  <si>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</si>
  <si>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</si>
  <si>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</si>
  <si>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</si>
  <si>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</si>
  <si>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</si>
  <si>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</si>
  <si>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</si>
  <si>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</si>
  <si>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</si>
  <si>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</si>
  <si>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</si>
  <si>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</si>
  <si>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</si>
  <si>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</si>
  <si>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</si>
  <si>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</si>
  <si>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</si>
  <si>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</si>
  <si>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</si>
  <si>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</si>
  <si>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</si>
  <si>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</si>
  <si>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</si>
  <si>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</si>
  <si>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</si>
  <si>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</si>
  <si>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</si>
  <si>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</si>
  <si>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</si>
  <si>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</si>
  <si>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</si>
  <si>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</si>
  <si>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</si>
  <si>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</si>
  <si>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</si>
  <si>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</si>
  <si>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</si>
  <si>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</si>
  <si>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</si>
  <si>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</si>
  <si>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</si>
  <si>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</si>
  <si>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</si>
  <si>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</si>
  <si>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</si>
  <si>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</si>
  <si>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</si>
  <si>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</si>
  <si>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</si>
  <si>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</si>
  <si>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</si>
  <si>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</si>
  <si>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</si>
  <si>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</si>
  <si>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</si>
  <si>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</si>
  <si>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</si>
  <si>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</si>
  <si>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</si>
  <si>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</si>
  <si>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</si>
  <si>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</si>
  <si>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</si>
  <si>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</si>
  <si>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</si>
  <si>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</si>
  <si>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</si>
  <si>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</si>
  <si>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</si>
  <si>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</si>
  <si>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</si>
  <si>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</si>
  <si>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</si>
  <si>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</si>
  <si>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</si>
  <si>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</si>
  <si>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</si>
  <si>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</si>
  <si>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</si>
  <si>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</si>
  <si>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</si>
  <si>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</si>
  <si>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</si>
  <si>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</si>
  <si>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</si>
  <si>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</si>
  <si>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</si>
  <si>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</si>
  <si>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</si>
  <si>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</si>
  <si>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</si>
  <si>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</si>
  <si>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</si>
  <si>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</si>
  <si>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</si>
  <si>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</si>
  <si>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</si>
  <si>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</si>
  <si>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</si>
  <si>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</si>
  <si>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</si>
  <si>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</si>
  <si>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</si>
  <si>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</si>
  <si>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</si>
  <si>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</si>
  <si>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</si>
  <si>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</si>
  <si>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</si>
  <si>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</si>
  <si>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</si>
  <si>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</si>
  <si>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</si>
  <si>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</si>
  <si>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</si>
  <si>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</si>
  <si>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</si>
  <si>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</si>
  <si>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</si>
  <si>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</si>
  <si>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</si>
  <si>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</si>
  <si>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</si>
  <si>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</si>
  <si>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</si>
  <si>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</si>
  <si>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</si>
  <si>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</si>
  <si>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</si>
  <si>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</si>
  <si>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</si>
  <si>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</si>
  <si>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</si>
  <si>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</si>
  <si>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</si>
  <si>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</si>
  <si>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</si>
  <si>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</si>
  <si>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</si>
  <si>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</si>
  <si>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Timken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</si>
</sst>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554</v>
      </c>
      <c r="C6" s="82"/>
      <c r="D6" s="82"/>
      <c r="E6" s="82"/>
      <c r="F6" s="82"/>
      <c r="G6" s="82"/>
      <c r="H6" s="82"/>
      <c r="I6" s="82"/>
    </row>
    <row r="7" spans="1:10" s="56" customFormat="1" ht="13">
      <c r="A7" s="156" t="s">
        <v>430</v>
      </c>
      <c r="B7" s="157" t="s">
        <v>554</v>
      </c>
      <c r="C7" s="246" t="s">
        <v>389</v>
      </c>
      <c r="D7" s="246" t="s">
        <v>612</v>
      </c>
      <c r="E7" s="82"/>
      <c r="F7" s="82"/>
      <c r="G7" s="82"/>
      <c r="H7" s="82"/>
      <c r="I7" s="82"/>
    </row>
    <row r="8" spans="1:10" s="56" customFormat="1" ht="13">
      <c r="A8" s="60" t="s">
        <v>11</v>
      </c>
      <c r="B8" s="61">
        <v>3803.8</v>
      </c>
      <c r="C8" s="85">
        <v>3580.8</v>
      </c>
      <c r="D8" s="245">
        <v>1</v>
      </c>
    </row>
    <row r="9" spans="1:10" s="56" customFormat="1" ht="13">
      <c r="A9" s="60" t="s">
        <v>29</v>
      </c>
      <c r="B9" s="61">
        <v>592</v>
      </c>
      <c r="C9" s="85">
        <v>496</v>
      </c>
      <c r="D9" s="245">
        <v>1</v>
      </c>
    </row>
    <row r="10" spans="1:10" s="56" customFormat="1" ht="13">
      <c r="A10" s="60" t="s">
        <v>432</v>
      </c>
      <c r="B10" s="85">
        <v>74</v>
      </c>
      <c r="C10" s="85">
        <v>52</v>
      </c>
      <c r="D10" s="62"/>
    </row>
    <row r="11" spans="1:10" s="56" customFormat="1" ht="13">
      <c r="A11" s="60" t="s">
        <v>30</v>
      </c>
      <c r="B11" s="61">
        <v>1817</v>
      </c>
      <c r="C11" s="85">
        <v>1642</v>
      </c>
      <c r="D11" s="62"/>
    </row>
    <row r="12" spans="1:10" s="56" customFormat="1" ht="13">
      <c r="A12" s="60" t="s">
        <v>31</v>
      </c>
      <c r="B12" s="85">
        <v>1600</v>
      </c>
      <c r="C12" s="85">
        <v>1670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52</v>
      </c>
      <c r="C15" s="85">
        <v>43</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205</v>
      </c>
      <c r="C18" s="358"/>
      <c r="D18" s="62"/>
    </row>
    <row r="19" spans="1:11" s="56" customFormat="1" ht="14" thickBot="1">
      <c r="A19" s="60" t="s">
        <v>32</v>
      </c>
      <c r="B19" s="158">
        <v>75.3</v>
      </c>
      <c r="C19" s="62"/>
    </row>
    <row r="20" spans="1:11" s="56" customFormat="1" ht="13">
      <c r="A20" s="60" t="s">
        <v>33</v>
      </c>
      <c r="B20" s="61">
        <v>52.53</v>
      </c>
      <c r="C20" s="62"/>
      <c r="E20" s="86" t="s">
        <v>238</v>
      </c>
      <c r="F20" s="54"/>
      <c r="G20" s="54"/>
      <c r="H20" s="54"/>
      <c r="I20" s="54"/>
      <c r="J20" s="54"/>
      <c r="K20" s="55"/>
    </row>
    <row r="21" spans="1:11" s="56" customFormat="1" ht="13">
      <c r="A21" s="63" t="s">
        <v>103</v>
      </c>
      <c r="B21" s="64">
        <v>0.22500000000000001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6.227658623771215E-2</v>
      </c>
      <c r="J23" s="259">
        <f>VLOOKUP(B6,'Industry Average Beta (US)'!A2:S95,3)</f>
        <v>4.0133466666666687E-2</v>
      </c>
      <c r="K23" s="260">
        <f>VLOOKUP(B7,'Industry Average Beta (Global)'!A2:N95,3)</f>
        <v>6.0073129459735045E-2</v>
      </c>
    </row>
    <row r="24" spans="1:11" s="56" customFormat="1" ht="13">
      <c r="A24" s="60" t="s">
        <v>49</v>
      </c>
      <c r="B24" s="67">
        <v>0.05</v>
      </c>
      <c r="C24" s="62"/>
      <c r="E24" s="87" t="s">
        <v>170</v>
      </c>
      <c r="F24" s="82"/>
      <c r="G24" s="82"/>
      <c r="H24" s="82"/>
      <c r="I24" s="259">
        <f>'Valuation output'!B4</f>
        <v>0.15563383984436616</v>
      </c>
      <c r="J24" s="260">
        <f>VLOOKUP(B6,'Industry Average Beta (US)'!A2:S95,4)</f>
        <v>0.13852289655304456</v>
      </c>
      <c r="K24" s="260">
        <f>VLOOKUP(B7,'Industry Average Beta (Global)'!A2:N95,4)</f>
        <v>9.9690044616789E-2</v>
      </c>
    </row>
    <row r="25" spans="1:11" s="56" customFormat="1" ht="13">
      <c r="A25" s="60" t="s">
        <v>51</v>
      </c>
      <c r="B25" s="67">
        <v>0.13</v>
      </c>
      <c r="C25" s="62"/>
      <c r="E25" s="87" t="s">
        <v>171</v>
      </c>
      <c r="F25" s="82"/>
      <c r="G25" s="82"/>
      <c r="H25" s="82"/>
      <c r="I25" s="261">
        <f>B8/'Valuation output'!B39</f>
        <v>1.1304011887072809</v>
      </c>
      <c r="J25" s="261">
        <f>VLOOKUP(B6,'Industry Average Beta (US)'!A2:S95,14)</f>
        <v>2.1027953849357077</v>
      </c>
      <c r="K25" s="261">
        <f>VLOOKUP(B7,'Industry Average Beta (Global)'!A2:N95,14)</f>
        <v>1.6371372140788156</v>
      </c>
    </row>
    <row r="26" spans="1:11" s="56" customFormat="1" ht="13">
      <c r="A26" s="60" t="s">
        <v>673</v>
      </c>
      <c r="B26" s="68">
        <v>5</v>
      </c>
      <c r="C26" s="62"/>
      <c r="E26" s="87" t="s">
        <v>172</v>
      </c>
      <c r="F26" s="82"/>
      <c r="G26" s="82"/>
      <c r="H26" s="82"/>
      <c r="I26" s="260">
        <f>'Valuation output'!B7/'Valuation output'!B39</f>
        <v>0.1363447251114413</v>
      </c>
      <c r="J26" s="260">
        <f>VLOOKUP(B6,'Industry Average Beta (US)'!A2:S95,5)</f>
        <v>0.25823556476988108</v>
      </c>
      <c r="K26" s="260">
        <f>VLOOKUP(B7,'Industry Average Beta (Global)'!A2:N95,5)</f>
        <v>0.13713414635173929</v>
      </c>
    </row>
    <row r="27" spans="1:11" s="56" customFormat="1" ht="13">
      <c r="A27" s="60" t="s">
        <v>37</v>
      </c>
      <c r="B27" s="68">
        <f>I25</f>
        <v>1.1304011887072809</v>
      </c>
      <c r="C27" s="62"/>
      <c r="E27" s="87" t="s">
        <v>378</v>
      </c>
      <c r="F27" s="82"/>
      <c r="G27" s="82"/>
      <c r="H27" s="82"/>
      <c r="I27" s="168"/>
      <c r="J27" s="262">
        <f>VLOOKUP(B6,'Industry Average Beta (US)'!A2:S95,10)</f>
        <v>0.34355380440821015</v>
      </c>
      <c r="K27" s="260">
        <f>VLOOKUP(B6,'Industry Average Beta (Global)'!A2:Z95,10)</f>
        <v>0.37251044494171548</v>
      </c>
    </row>
    <row r="28" spans="1:11" s="56" customFormat="1" ht="14" thickBot="1">
      <c r="A28" s="65" t="s">
        <v>36</v>
      </c>
      <c r="B28" s="69"/>
      <c r="C28" s="62"/>
      <c r="E28" s="58" t="s">
        <v>377</v>
      </c>
      <c r="F28" s="59"/>
      <c r="G28" s="59"/>
      <c r="H28" s="59"/>
      <c r="I28" s="59"/>
      <c r="J28" s="263">
        <f>VLOOKUP(B6,'Industry Average Beta (US)'!A2:S95,13)</f>
        <v>8.2721392844834263E-2</v>
      </c>
      <c r="K28" s="260">
        <f>VLOOKUP(B6,'Industry Average Beta (Global)'!A2:Z95,13)</f>
        <v>0.10105777485900676</v>
      </c>
    </row>
    <row r="29" spans="1:11" s="56" customFormat="1" ht="14" thickBot="1">
      <c r="A29" s="60" t="s">
        <v>27</v>
      </c>
      <c r="B29" s="67">
        <v>1.7999999999999999E-2</v>
      </c>
      <c r="C29" s="62"/>
    </row>
    <row r="30" spans="1:11" s="56" customFormat="1" ht="13">
      <c r="A30" s="60" t="s">
        <v>39</v>
      </c>
      <c r="B30" s="159">
        <f>'Cost of capital worksheet'!E50</f>
        <v>7.7244964099045701E-2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5750.4295034474326</v>
      </c>
    </row>
    <row r="32" spans="1:11" s="56" customFormat="1" ht="13">
      <c r="A32" s="63" t="s">
        <v>241</v>
      </c>
      <c r="B32" s="159" t="s">
        <v>53</v>
      </c>
      <c r="C32"/>
      <c r="D32" s="62"/>
      <c r="E32" s="247" t="s">
        <v>603</v>
      </c>
      <c r="F32" s="63"/>
      <c r="G32" s="63"/>
      <c r="H32" s="63"/>
      <c r="I32" s="63"/>
      <c r="J32" s="258">
        <f>'Valuation output'!M5</f>
        <v>747.55583544816625</v>
      </c>
    </row>
    <row r="33" spans="1:14" s="56" customFormat="1" ht="13">
      <c r="A33" s="63" t="s">
        <v>89</v>
      </c>
      <c r="B33" s="68">
        <v>3.6</v>
      </c>
      <c r="C33" s="257"/>
      <c r="D33" s="62"/>
      <c r="E33" s="247" t="s">
        <v>602</v>
      </c>
      <c r="F33" s="63"/>
      <c r="G33" s="63"/>
      <c r="H33" s="63"/>
      <c r="I33" s="63"/>
      <c r="J33" s="259">
        <f>'Valuation output'!L40</f>
        <v>0.10727507280832096</v>
      </c>
    </row>
    <row r="34" spans="1:14" s="56" customFormat="1" ht="14" thickBot="1">
      <c r="A34" s="63" t="s">
        <v>90</v>
      </c>
      <c r="B34" s="71">
        <v>40</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6" zoomScale="125" zoomScaleNormal="125" workbookViewId="0">
      <selection activeCell="D23" sqref="D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3803.8</v>
      </c>
      <c r="C3" s="93">
        <f>B3*(1+C2)</f>
        <v>3993.9900000000002</v>
      </c>
      <c r="D3" s="93">
        <f t="shared" ref="D3:L3" si="0">C3*(1+D2)</f>
        <v>4193.6895000000004</v>
      </c>
      <c r="E3" s="93">
        <f t="shared" si="0"/>
        <v>4403.3739750000004</v>
      </c>
      <c r="F3" s="93">
        <f t="shared" si="0"/>
        <v>4623.5426737500011</v>
      </c>
      <c r="G3" s="93">
        <f t="shared" si="0"/>
        <v>4854.719807437501</v>
      </c>
      <c r="H3" s="93">
        <f t="shared" si="0"/>
        <v>5066.385591041776</v>
      </c>
      <c r="I3" s="93">
        <f t="shared" si="0"/>
        <v>5254.8551350285297</v>
      </c>
      <c r="J3" s="93">
        <f t="shared" si="0"/>
        <v>5416.7046731874079</v>
      </c>
      <c r="K3" s="93">
        <f t="shared" si="0"/>
        <v>5548.8722672131807</v>
      </c>
      <c r="L3" s="93">
        <f t="shared" si="0"/>
        <v>5648.751968023018</v>
      </c>
      <c r="M3" s="109">
        <f>L3*(1+M2)</f>
        <v>5750.4295034474326</v>
      </c>
    </row>
    <row r="4" spans="1:14" ht="15" customHeight="1">
      <c r="A4" s="45" t="s">
        <v>26</v>
      </c>
      <c r="B4" s="94">
        <f>B5/B3</f>
        <v>0.15563383984436616</v>
      </c>
      <c r="C4" s="90">
        <f>IF(C1&gt;'Input sheet'!$B$26,'Input sheet'!$B$25,'Input sheet'!$B$25-(('Input sheet'!$B$25-$B$4)/'Input sheet'!$B$26)*('Input sheet'!$B$26-C1))</f>
        <v>0.15050707187549292</v>
      </c>
      <c r="D4" s="90">
        <f>IF(D1&gt;'Input sheet'!$B$26,'Input sheet'!$B$25,'Input sheet'!$B$25-(('Input sheet'!$B$25-$B$4)/'Input sheet'!$B$26)*('Input sheet'!$B$26-D1))</f>
        <v>0.14538030390661968</v>
      </c>
      <c r="E4" s="90">
        <f>IF(E1&gt;'Input sheet'!$B$26,'Input sheet'!$B$25,'Input sheet'!$B$25-(('Input sheet'!$B$25-$B$4)/'Input sheet'!$B$26)*('Input sheet'!$B$26-E1))</f>
        <v>0.14025353593774648</v>
      </c>
      <c r="F4" s="90">
        <f>IF(F1&gt;'Input sheet'!$B$26,'Input sheet'!$B$25,'Input sheet'!$B$25-(('Input sheet'!$B$25-$B$4)/'Input sheet'!$B$26)*('Input sheet'!$B$26-F1))</f>
        <v>0.13512676796887324</v>
      </c>
      <c r="G4" s="90">
        <f>IF(G1&gt;'Input sheet'!$B$26,'Input sheet'!$B$25,'Input sheet'!$B$25-(('Input sheet'!$B$25-$B$4)/'Input sheet'!$B$26)*('Input sheet'!$B$26-G1))</f>
        <v>0.13</v>
      </c>
      <c r="H4" s="90">
        <f>IF(H1&gt;'Input sheet'!$B$26,'Input sheet'!$B$25,'Input sheet'!$B$25-(('Input sheet'!$B$25-$B$4)/'Input sheet'!$B$26)*('Input sheet'!$B$26-H1))</f>
        <v>0.13</v>
      </c>
      <c r="I4" s="90">
        <f>IF(I1&gt;'Input sheet'!$B$26,'Input sheet'!$B$25,'Input sheet'!$B$25-(('Input sheet'!$B$25-$B$4)/'Input sheet'!$B$26)*('Input sheet'!$B$26-I1))</f>
        <v>0.13</v>
      </c>
      <c r="J4" s="90">
        <f>IF(J1&gt;'Input sheet'!$B$26,'Input sheet'!$B$25,'Input sheet'!$B$25-(('Input sheet'!$B$25-$B$4)/'Input sheet'!$B$26)*('Input sheet'!$B$26-J1))</f>
        <v>0.13</v>
      </c>
      <c r="K4" s="90">
        <f>IF(K1&gt;'Input sheet'!$B$26,'Input sheet'!$B$25,'Input sheet'!$B$25-(('Input sheet'!$B$25-$B$4)/'Input sheet'!$B$26)*('Input sheet'!$B$26-K1))</f>
        <v>0.13</v>
      </c>
      <c r="L4" s="90">
        <f>IF(L1&gt;'Input sheet'!$B$26,'Input sheet'!$B$25,'Input sheet'!$B$25-(('Input sheet'!$B$25-$B$4)/'Input sheet'!$B$26)*('Input sheet'!$B$26-L1))</f>
        <v>0.13</v>
      </c>
      <c r="M4" s="91">
        <f>L4</f>
        <v>0.13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592</v>
      </c>
      <c r="C5" s="93">
        <f t="shared" ref="C5:M5" si="1">C4*C3</f>
        <v>601.12374</v>
      </c>
      <c r="D5" s="93">
        <f t="shared" si="1"/>
        <v>609.67985399999998</v>
      </c>
      <c r="E5" s="93">
        <f t="shared" si="1"/>
        <v>617.58877005000011</v>
      </c>
      <c r="F5" s="93">
        <f t="shared" si="1"/>
        <v>624.76437807000013</v>
      </c>
      <c r="G5" s="93">
        <f t="shared" si="1"/>
        <v>631.11357496687515</v>
      </c>
      <c r="H5" s="93">
        <f t="shared" si="1"/>
        <v>658.63012683543093</v>
      </c>
      <c r="I5" s="93">
        <f t="shared" si="1"/>
        <v>683.13116755370891</v>
      </c>
      <c r="J5" s="93">
        <f t="shared" si="1"/>
        <v>704.17160751436302</v>
      </c>
      <c r="K5" s="93">
        <f t="shared" si="1"/>
        <v>721.35339473771353</v>
      </c>
      <c r="L5" s="93">
        <f t="shared" si="1"/>
        <v>734.33775584299235</v>
      </c>
      <c r="M5" s="109">
        <f t="shared" si="1"/>
        <v>747.55583544816625</v>
      </c>
      <c r="N5" s="111">
        <f>M5-B5</f>
        <v>155.55583544816625</v>
      </c>
    </row>
    <row r="6" spans="1:14" ht="15" customHeight="1">
      <c r="A6" s="45" t="s">
        <v>137</v>
      </c>
      <c r="B6" s="95">
        <f>'Input sheet'!B21</f>
        <v>0.22500000000000001</v>
      </c>
      <c r="C6" s="96">
        <f>B6</f>
        <v>0.22500000000000001</v>
      </c>
      <c r="D6" s="96">
        <f>C6</f>
        <v>0.22500000000000001</v>
      </c>
      <c r="E6" s="96">
        <f>D6</f>
        <v>0.22500000000000001</v>
      </c>
      <c r="F6" s="96">
        <f>E6</f>
        <v>0.22500000000000001</v>
      </c>
      <c r="G6" s="96">
        <f>F6</f>
        <v>0.22500000000000001</v>
      </c>
      <c r="H6" s="96">
        <f>G6+($M$6-$G$6)/5</f>
        <v>0.23400000000000001</v>
      </c>
      <c r="I6" s="96">
        <f>H6+($M$6-$G$6)/5</f>
        <v>0.24300000000000002</v>
      </c>
      <c r="J6" s="96">
        <f>I6+($M$6-$G$6)/5</f>
        <v>0.252</v>
      </c>
      <c r="K6" s="96">
        <f>J6+($M$6-$G$6)/5</f>
        <v>0.26100000000000001</v>
      </c>
      <c r="L6" s="96">
        <f>K6+($M$6-$G$6)/5</f>
        <v>0.27</v>
      </c>
      <c r="M6" s="96">
        <f>IF('Input sheet'!B51="Yes",'Input sheet'!B21,'Input sheet'!B22)</f>
        <v>0.27</v>
      </c>
    </row>
    <row r="7" spans="1:14" ht="15" customHeight="1">
      <c r="A7" s="45" t="s">
        <v>12</v>
      </c>
      <c r="B7" s="92">
        <f>IF(B5&gt;0,B5*(1-B6),B5)</f>
        <v>458.8</v>
      </c>
      <c r="C7" s="93">
        <f>IF(C5&gt;0,IF(C5&lt;B10,C5,C5-(C5-B10)*C6),C5)</f>
        <v>465.87089849999995</v>
      </c>
      <c r="D7" s="93">
        <f t="shared" ref="D7:L7" si="2">IF(D5&gt;0,IF(D5&lt;C10,D5,D5-(D5-C10)*D6),D5)</f>
        <v>472.50188685000001</v>
      </c>
      <c r="E7" s="93">
        <f t="shared" si="2"/>
        <v>478.63129678875009</v>
      </c>
      <c r="F7" s="93">
        <f t="shared" si="2"/>
        <v>484.19239300425011</v>
      </c>
      <c r="G7" s="93">
        <f t="shared" si="2"/>
        <v>489.11302059932825</v>
      </c>
      <c r="H7" s="93">
        <f t="shared" si="2"/>
        <v>504.51067715594007</v>
      </c>
      <c r="I7" s="93">
        <f t="shared" si="2"/>
        <v>517.13029383815763</v>
      </c>
      <c r="J7" s="93">
        <f t="shared" si="2"/>
        <v>526.72036242074353</v>
      </c>
      <c r="K7" s="93">
        <f t="shared" si="2"/>
        <v>533.08015871117027</v>
      </c>
      <c r="L7" s="93">
        <f t="shared" si="2"/>
        <v>536.06656176538445</v>
      </c>
      <c r="M7" s="93">
        <f>M5*(1-M6)</f>
        <v>545.7157598771613</v>
      </c>
    </row>
    <row r="8" spans="1:14" ht="15" customHeight="1">
      <c r="A8" s="45" t="s">
        <v>15</v>
      </c>
      <c r="B8" s="92"/>
      <c r="C8" s="93">
        <f t="shared" ref="C8:L8" si="3">(C3-B3)/C38</f>
        <v>168.25000000000003</v>
      </c>
      <c r="D8" s="93">
        <f t="shared" si="3"/>
        <v>176.66250000000014</v>
      </c>
      <c r="E8" s="93">
        <f t="shared" si="3"/>
        <v>185.49562500000002</v>
      </c>
      <c r="F8" s="93">
        <f t="shared" si="3"/>
        <v>194.77040625000058</v>
      </c>
      <c r="G8" s="93">
        <f t="shared" si="3"/>
        <v>204.50892656249991</v>
      </c>
      <c r="H8" s="93">
        <f t="shared" si="3"/>
        <v>187.24837316062499</v>
      </c>
      <c r="I8" s="93">
        <f t="shared" si="3"/>
        <v>166.72801291219994</v>
      </c>
      <c r="J8" s="93">
        <f t="shared" si="3"/>
        <v>143.17884639166758</v>
      </c>
      <c r="K8" s="93">
        <f t="shared" si="3"/>
        <v>116.92096164275868</v>
      </c>
      <c r="L8" s="93">
        <f t="shared" si="3"/>
        <v>88.357745734555508</v>
      </c>
      <c r="M8" s="97">
        <f>IF(M2&gt;0,(M2/M40)*M7,0)</f>
        <v>155.91878853633185</v>
      </c>
      <c r="N8" s="111">
        <f>SUM(C8:M8)</f>
        <v>1788.0401861906394</v>
      </c>
    </row>
    <row r="9" spans="1:14" ht="15" customHeight="1">
      <c r="A9" s="45" t="s">
        <v>16</v>
      </c>
      <c r="B9" s="92"/>
      <c r="C9" s="93">
        <f t="shared" ref="C9:L9" si="4">C7-C8</f>
        <v>297.62089849999995</v>
      </c>
      <c r="D9" s="93">
        <f t="shared" si="4"/>
        <v>295.83938684999987</v>
      </c>
      <c r="E9" s="93">
        <f t="shared" si="4"/>
        <v>293.13567178875007</v>
      </c>
      <c r="F9" s="93">
        <f t="shared" si="4"/>
        <v>289.42198675424953</v>
      </c>
      <c r="G9" s="93">
        <f t="shared" si="4"/>
        <v>284.60409403682831</v>
      </c>
      <c r="H9" s="93">
        <f t="shared" si="4"/>
        <v>317.26230399531505</v>
      </c>
      <c r="I9" s="93">
        <f t="shared" si="4"/>
        <v>350.40228092595771</v>
      </c>
      <c r="J9" s="93">
        <f t="shared" si="4"/>
        <v>383.54151602907598</v>
      </c>
      <c r="K9" s="93">
        <f t="shared" si="4"/>
        <v>416.15919706841157</v>
      </c>
      <c r="L9" s="93">
        <f t="shared" si="4"/>
        <v>447.70881603082893</v>
      </c>
      <c r="M9" s="97">
        <f>M7-M8</f>
        <v>389.79697134082949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7.7244964099045701E-2</v>
      </c>
      <c r="D12" s="90">
        <f>C12</f>
        <v>7.7244964099045701E-2</v>
      </c>
      <c r="E12" s="90">
        <f>D12</f>
        <v>7.7244964099045701E-2</v>
      </c>
      <c r="F12" s="90">
        <f>E12</f>
        <v>7.7244964099045701E-2</v>
      </c>
      <c r="G12" s="90">
        <f>F12</f>
        <v>7.7244964099045701E-2</v>
      </c>
      <c r="H12" s="90">
        <f>G12-($G$12-$M$12)/5</f>
        <v>7.4395971279236556E-2</v>
      </c>
      <c r="I12" s="90">
        <f>H12-($G$12-$M$12)/5</f>
        <v>7.154697845942741E-2</v>
      </c>
      <c r="J12" s="90">
        <f>I12-($G$12-$M$12)/5</f>
        <v>6.8697985639618264E-2</v>
      </c>
      <c r="K12" s="90">
        <f>J12-($G$12-$M$12)/5</f>
        <v>6.5848992819809118E-2</v>
      </c>
      <c r="L12" s="90">
        <f>K12-($G$12-$M$12)/5</f>
        <v>6.2999999999999973E-2</v>
      </c>
      <c r="M12" s="91">
        <f>IF('Input sheet'!B40="Yes",'Input sheet'!B41,'Input sheet'!B29+0.045)</f>
        <v>6.3E-2</v>
      </c>
    </row>
    <row r="13" spans="1:14" ht="15" customHeight="1">
      <c r="A13" s="46" t="s">
        <v>142</v>
      </c>
      <c r="B13" s="89"/>
      <c r="C13" s="153">
        <f>1/(1+C12)</f>
        <v>0.92829396592849278</v>
      </c>
      <c r="D13" s="153">
        <f>C13*(1/(1+D12))</f>
        <v>0.86172968717924969</v>
      </c>
      <c r="E13" s="153">
        <f t="shared" ref="E13:L13" si="6">D13*(1/(1+E12))</f>
        <v>0.79993846886994513</v>
      </c>
      <c r="F13" s="153">
        <f t="shared" si="6"/>
        <v>0.74257805376604757</v>
      </c>
      <c r="G13" s="153">
        <f t="shared" si="6"/>
        <v>0.68933072654194583</v>
      </c>
      <c r="H13" s="153">
        <f t="shared" si="6"/>
        <v>0.64159839106729866</v>
      </c>
      <c r="I13" s="153">
        <f t="shared" si="6"/>
        <v>0.59875899420642331</v>
      </c>
      <c r="J13" s="153">
        <f t="shared" si="6"/>
        <v>0.56026960118958657</v>
      </c>
      <c r="K13" s="153">
        <f t="shared" si="6"/>
        <v>0.52565570260317818</v>
      </c>
      <c r="L13" s="153">
        <f t="shared" si="6"/>
        <v>0.4945020720631968</v>
      </c>
      <c r="M13" s="98"/>
    </row>
    <row r="14" spans="1:14" ht="15" customHeight="1">
      <c r="A14" s="46" t="s">
        <v>21</v>
      </c>
      <c r="B14" s="89"/>
      <c r="C14" s="93">
        <f t="shared" ref="C14:L14" si="7">C9*C13</f>
        <v>276.27968421176638</v>
      </c>
      <c r="D14" s="93">
        <f t="shared" si="7"/>
        <v>254.93358228555141</v>
      </c>
      <c r="E14" s="93">
        <f t="shared" si="7"/>
        <v>234.4905004618555</v>
      </c>
      <c r="F14" s="93">
        <f t="shared" si="7"/>
        <v>214.91841564107341</v>
      </c>
      <c r="G14" s="93">
        <f t="shared" si="7"/>
        <v>196.18634691921915</v>
      </c>
      <c r="H14" s="93">
        <f t="shared" si="7"/>
        <v>203.55498378969833</v>
      </c>
      <c r="I14" s="93">
        <f t="shared" si="7"/>
        <v>209.80651729486303</v>
      </c>
      <c r="J14" s="93">
        <f t="shared" si="7"/>
        <v>214.88665222525984</v>
      </c>
      <c r="K14" s="93">
        <f t="shared" si="7"/>
        <v>218.75645512977036</v>
      </c>
      <c r="L14" s="93">
        <f t="shared" si="7"/>
        <v>221.3929372082055</v>
      </c>
      <c r="M14" s="98"/>
    </row>
    <row r="15" spans="1:14" ht="15" customHeight="1">
      <c r="A15" s="46"/>
      <c r="B15" s="45"/>
      <c r="C15" s="51"/>
      <c r="D15" s="51"/>
      <c r="E15" s="51"/>
      <c r="F15" s="51"/>
      <c r="G15" s="51"/>
      <c r="H15" s="51"/>
      <c r="I15" s="51"/>
      <c r="J15" s="51"/>
      <c r="K15" s="51"/>
      <c r="L15" s="51"/>
    </row>
    <row r="16" spans="1:14" ht="15" customHeight="1">
      <c r="A16" s="48" t="s">
        <v>22</v>
      </c>
      <c r="B16" s="92">
        <f>M9</f>
        <v>389.79697134082949</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8662.1549186851007</v>
      </c>
      <c r="C18" s="51"/>
      <c r="D18" s="154"/>
      <c r="E18" s="51"/>
      <c r="F18" s="51"/>
      <c r="G18" s="51"/>
      <c r="H18" s="51"/>
      <c r="I18" s="51"/>
      <c r="J18" s="51"/>
      <c r="K18" s="51"/>
      <c r="L18" s="51"/>
    </row>
    <row r="19" spans="1:12">
      <c r="A19" s="48" t="s">
        <v>24</v>
      </c>
      <c r="B19" s="99">
        <f>B18*L13</f>
        <v>4283.4535558221942</v>
      </c>
      <c r="C19" s="51"/>
      <c r="D19" s="51"/>
      <c r="E19" s="51"/>
      <c r="F19" s="51"/>
      <c r="G19" s="51"/>
      <c r="H19" s="51"/>
      <c r="I19" s="51"/>
      <c r="J19" s="51"/>
      <c r="K19" s="51"/>
      <c r="L19" s="51"/>
    </row>
    <row r="20" spans="1:12">
      <c r="A20" s="48" t="s">
        <v>46</v>
      </c>
      <c r="B20" s="99">
        <f>SUM(C14:L14)</f>
        <v>2245.206075167263</v>
      </c>
      <c r="C20" s="51"/>
      <c r="D20" s="51"/>
      <c r="E20" s="51"/>
      <c r="F20" s="51"/>
      <c r="G20" s="51"/>
      <c r="H20" s="51"/>
      <c r="I20" s="51"/>
      <c r="J20" s="51"/>
      <c r="K20" s="51"/>
      <c r="L20" s="51"/>
    </row>
    <row r="21" spans="1:12">
      <c r="A21" s="48" t="s">
        <v>47</v>
      </c>
      <c r="B21" s="99">
        <f>B19+B20</f>
        <v>6528.6596309894576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3264.3298154947288</v>
      </c>
      <c r="C23" s="51"/>
      <c r="D23" s="51"/>
      <c r="E23" s="51"/>
      <c r="F23" s="51"/>
      <c r="G23" s="51"/>
      <c r="H23" s="51"/>
      <c r="I23" s="51"/>
      <c r="J23" s="51"/>
      <c r="K23" s="51"/>
      <c r="L23" s="51"/>
    </row>
    <row r="24" spans="1:12">
      <c r="A24" s="48" t="s">
        <v>44</v>
      </c>
      <c r="B24" s="92">
        <f>B21*(1-B22)+B23*B22</f>
        <v>6528.6596309894576</v>
      </c>
      <c r="C24" s="51"/>
      <c r="D24" s="51"/>
      <c r="E24" s="51"/>
      <c r="F24" s="51"/>
      <c r="G24" s="51"/>
      <c r="H24" s="51"/>
      <c r="I24" s="51"/>
      <c r="J24" s="51"/>
      <c r="K24" s="51"/>
      <c r="L24" s="51"/>
    </row>
    <row r="25" spans="1:12">
      <c r="A25" s="48" t="s">
        <v>384</v>
      </c>
      <c r="B25" s="92">
        <f>IF('Input sheet'!B14="Yes",'Input sheet'!B12+'Operating lease converter'!C28,'Input sheet'!B12)+'Input sheet'!B18</f>
        <v>1805</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52</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4775.6596309894576</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4775.6596309894576</v>
      </c>
      <c r="C31" s="51"/>
      <c r="D31" s="51"/>
      <c r="E31" s="51"/>
      <c r="F31" s="51"/>
      <c r="G31" s="51"/>
      <c r="H31" s="51"/>
      <c r="I31" s="51"/>
      <c r="J31" s="51"/>
      <c r="K31" s="51"/>
      <c r="L31" s="51"/>
    </row>
    <row r="32" spans="1:12">
      <c r="A32" s="48" t="s">
        <v>13</v>
      </c>
      <c r="B32" s="103">
        <f>'Input sheet'!B19</f>
        <v>75.3</v>
      </c>
      <c r="C32" s="51"/>
      <c r="D32" s="51"/>
      <c r="E32" s="51"/>
      <c r="F32" s="51"/>
      <c r="G32" s="51"/>
      <c r="H32" s="51"/>
      <c r="I32" s="51"/>
      <c r="J32" s="51"/>
      <c r="K32" s="51"/>
      <c r="L32" s="51"/>
    </row>
    <row r="33" spans="1:13">
      <c r="A33" s="48" t="s">
        <v>93</v>
      </c>
      <c r="B33" s="104">
        <f>B31/B32</f>
        <v>63.421774647934363</v>
      </c>
      <c r="C33" s="51"/>
      <c r="D33" s="51"/>
      <c r="E33" s="51"/>
      <c r="F33" s="51"/>
      <c r="G33" s="51"/>
      <c r="H33" s="51"/>
      <c r="I33" s="51"/>
      <c r="J33" s="51"/>
      <c r="K33" s="51"/>
      <c r="L33" s="51"/>
    </row>
    <row r="34" spans="1:13">
      <c r="A34" s="48" t="s">
        <v>100</v>
      </c>
      <c r="B34" s="105">
        <f>'Input sheet'!B20</f>
        <v>52.53</v>
      </c>
      <c r="C34" s="51"/>
      <c r="D34" s="51"/>
      <c r="E34" s="51"/>
      <c r="F34" s="51"/>
      <c r="G34" s="51"/>
      <c r="H34" s="51"/>
      <c r="I34" s="51"/>
      <c r="J34" s="51"/>
      <c r="K34" s="51"/>
      <c r="L34" s="51"/>
    </row>
    <row r="35" spans="1:13">
      <c r="A35" s="48" t="s">
        <v>52</v>
      </c>
      <c r="B35" s="95">
        <f>B34/B33</f>
        <v>0.82826442955283808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1.1304011887072809</v>
      </c>
      <c r="D38" s="106">
        <f>C38</f>
        <v>1.1304011887072809</v>
      </c>
      <c r="E38" s="106">
        <f t="shared" ref="E38:L38" si="8">D38</f>
        <v>1.1304011887072809</v>
      </c>
      <c r="F38" s="106">
        <f t="shared" si="8"/>
        <v>1.1304011887072809</v>
      </c>
      <c r="G38" s="106">
        <f t="shared" si="8"/>
        <v>1.1304011887072809</v>
      </c>
      <c r="H38" s="106">
        <f t="shared" si="8"/>
        <v>1.1304011887072809</v>
      </c>
      <c r="I38" s="106">
        <f t="shared" si="8"/>
        <v>1.1304011887072809</v>
      </c>
      <c r="J38" s="106">
        <f t="shared" si="8"/>
        <v>1.1304011887072809</v>
      </c>
      <c r="K38" s="106">
        <f t="shared" si="8"/>
        <v>1.1304011887072809</v>
      </c>
      <c r="L38" s="106">
        <f t="shared" si="8"/>
        <v>1.1304011887072809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3365</v>
      </c>
      <c r="C39" s="108">
        <f t="shared" ref="C39:L39" si="9">B39+C8</f>
        <v>3533.25</v>
      </c>
      <c r="D39" s="108">
        <f t="shared" si="9"/>
        <v>3709.9125000000004</v>
      </c>
      <c r="E39" s="108">
        <f t="shared" si="9"/>
        <v>3895.4081250000004</v>
      </c>
      <c r="F39" s="108">
        <f t="shared" si="9"/>
        <v>4090.178531250001</v>
      </c>
      <c r="G39" s="108">
        <f t="shared" si="9"/>
        <v>4294.6874578125007</v>
      </c>
      <c r="H39" s="108">
        <f t="shared" si="9"/>
        <v>4481.935830973126</v>
      </c>
      <c r="I39" s="108">
        <f t="shared" si="9"/>
        <v>4648.6638438853261</v>
      </c>
      <c r="J39" s="108">
        <f t="shared" si="9"/>
        <v>4791.8426902769934</v>
      </c>
      <c r="K39" s="108">
        <f t="shared" si="9"/>
        <v>4908.7636519197522</v>
      </c>
      <c r="L39" s="108">
        <f t="shared" si="9"/>
        <v>4997.1213976543077</v>
      </c>
      <c r="M39" s="98"/>
    </row>
    <row r="40" spans="1:13">
      <c r="A40" s="44" t="s">
        <v>19</v>
      </c>
      <c r="B40" s="94">
        <f t="shared" ref="B40:L40" si="10">B7/B39</f>
        <v>0.1363447251114413</v>
      </c>
      <c r="C40" s="90">
        <f t="shared" si="10"/>
        <v>0.13185336404160475</v>
      </c>
      <c r="D40" s="90">
        <f t="shared" si="10"/>
        <v>0.1273620029717682</v>
      </c>
      <c r="E40" s="90">
        <f t="shared" si="10"/>
        <v>0.12287064190193166</v>
      </c>
      <c r="F40" s="90">
        <f t="shared" si="10"/>
        <v>0.11837928083209509</v>
      </c>
      <c r="G40" s="90">
        <f t="shared" si="10"/>
        <v>0.11388791976225855</v>
      </c>
      <c r="H40" s="90">
        <f t="shared" si="10"/>
        <v>0.11256535037147103</v>
      </c>
      <c r="I40" s="90">
        <f t="shared" si="10"/>
        <v>0.11124278098068351</v>
      </c>
      <c r="J40" s="90">
        <f t="shared" si="10"/>
        <v>0.10992021158989598</v>
      </c>
      <c r="K40" s="90">
        <f t="shared" si="10"/>
        <v>0.10859764219910847</v>
      </c>
      <c r="L40" s="110">
        <f t="shared" si="10"/>
        <v>0.10727507280832096</v>
      </c>
      <c r="M40" s="90">
        <f>IF('Input sheet'!B43="Yes",'Input sheet'!B44,'Valuation output'!L12)</f>
        <v>6.2999999999999973E-2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Timken</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3803.8</v>
      </c>
      <c r="C9" s="275">
        <f>'Input sheet'!B24</f>
        <v>0.05</v>
      </c>
      <c r="D9" s="275">
        <f>F9</f>
        <v>1.7999999999999999E-2</v>
      </c>
      <c r="E9" s="276"/>
      <c r="F9" s="275">
        <f>'Valuation output'!M2</f>
        <v>1.7999999999999999E-2</v>
      </c>
      <c r="G9" s="299" t="s">
        <v>744</v>
      </c>
      <c r="H9" s="398" t="s">
        <v>643</v>
      </c>
      <c r="I9" s="399"/>
      <c r="J9" s="399"/>
      <c r="K9" s="400"/>
    </row>
    <row r="10" spans="1:11">
      <c r="A10" s="273" t="s">
        <v>630</v>
      </c>
      <c r="B10" s="275">
        <f>'Valuation output'!B4</f>
        <v>0.15563383984436616</v>
      </c>
      <c r="C10" s="277">
        <f>B10</f>
        <v>0.15563383984436616</v>
      </c>
      <c r="D10" s="278">
        <f>F10</f>
        <v>0.13</v>
      </c>
      <c r="E10" s="278"/>
      <c r="F10" s="275">
        <f>'Valuation output'!M4</f>
        <v>0.13</v>
      </c>
      <c r="G10" s="304" t="s">
        <v>745</v>
      </c>
      <c r="H10" s="401"/>
      <c r="I10" s="402"/>
      <c r="J10" s="402"/>
      <c r="K10" s="403"/>
    </row>
    <row r="11" spans="1:11">
      <c r="A11" s="273" t="s">
        <v>137</v>
      </c>
      <c r="B11" s="275">
        <f>'Valuation output'!B6</f>
        <v>0.22500000000000001</v>
      </c>
      <c r="C11" s="277">
        <f>B11</f>
        <v>0.22500000000000001</v>
      </c>
      <c r="D11" s="278">
        <f>F11</f>
        <v>0.27</v>
      </c>
      <c r="E11" s="278"/>
      <c r="F11" s="275">
        <f>'Valuation output'!M6</f>
        <v>0.27</v>
      </c>
      <c r="G11" s="304" t="s">
        <v>746</v>
      </c>
      <c r="H11" s="401"/>
      <c r="I11" s="402"/>
      <c r="J11" s="402"/>
      <c r="K11" s="403"/>
    </row>
    <row r="12" spans="1:11">
      <c r="A12" s="273" t="s">
        <v>631</v>
      </c>
      <c r="B12" s="276"/>
      <c r="C12" s="279" t="s">
        <v>635</v>
      </c>
      <c r="D12" s="280">
        <f>'Input sheet'!B27</f>
        <v>1.1304011887072809</v>
      </c>
      <c r="E12" s="281" t="s">
        <v>647</v>
      </c>
      <c r="F12" s="282">
        <f>'Valuation output'!M2/'Valuation output'!M40</f>
        <v>0.28571428571428581</v>
      </c>
      <c r="G12" s="304" t="s">
        <v>747</v>
      </c>
      <c r="H12" s="401"/>
      <c r="I12" s="402"/>
      <c r="J12" s="402"/>
      <c r="K12" s="403"/>
    </row>
    <row r="13" spans="1:11">
      <c r="A13" s="306" t="s">
        <v>645</v>
      </c>
      <c r="B13" s="310">
        <f>'Valuation output'!B40</f>
        <v>0.1363447251114413</v>
      </c>
      <c r="C13" s="313" t="s">
        <v>646</v>
      </c>
      <c r="D13" s="314">
        <f>Diagnostics!B6</f>
        <v>8.7210274951091765E-2</v>
      </c>
      <c r="E13" s="307"/>
      <c r="F13" s="308">
        <f>'Valuation output'!M40</f>
        <v>6.2999999999999973E-2</v>
      </c>
      <c r="G13" s="309" t="s">
        <v>748</v>
      </c>
      <c r="H13" s="401"/>
      <c r="I13" s="402"/>
      <c r="J13" s="402"/>
      <c r="K13" s="403"/>
    </row>
    <row r="14" spans="1:11" ht="17" thickBot="1">
      <c r="A14" s="283" t="s">
        <v>632</v>
      </c>
      <c r="B14" s="311"/>
      <c r="C14" s="277">
        <f>'Valuation output'!C12</f>
        <v>7.7244964099045701E-2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3993.9900000000002</v>
      </c>
      <c r="C17" s="287">
        <f>'Valuation output'!C4</f>
        <v>0.15050707187549292</v>
      </c>
      <c r="D17" s="274">
        <f>B17*C17</f>
        <v>601.12374</v>
      </c>
      <c r="E17" s="286">
        <f>'Valuation output'!C7</f>
        <v>465.87089849999995</v>
      </c>
      <c r="F17" s="286">
        <f>'Valuation output'!C8</f>
        <v>168.25000000000003</v>
      </c>
      <c r="G17" s="317">
        <f>E17-F17</f>
        <v>297.62089849999995</v>
      </c>
      <c r="H17" s="410"/>
      <c r="I17" s="411"/>
      <c r="J17" s="411"/>
      <c r="K17" s="412"/>
    </row>
    <row r="18" spans="1:11">
      <c r="A18" s="285">
        <v>2</v>
      </c>
      <c r="B18" s="286">
        <f>'Valuation output'!D3</f>
        <v>4193.6895000000004</v>
      </c>
      <c r="C18" s="287">
        <f>'Valuation output'!D4</f>
        <v>0.14538030390661968</v>
      </c>
      <c r="D18" s="274">
        <f t="shared" ref="D18:D27" si="0">B18*C18</f>
        <v>609.67985399999998</v>
      </c>
      <c r="E18" s="286">
        <f>'Valuation output'!D7</f>
        <v>472.50188685000001</v>
      </c>
      <c r="F18" s="286">
        <f>'Valuation output'!D8</f>
        <v>176.66250000000014</v>
      </c>
      <c r="G18" s="317">
        <f t="shared" ref="G18:G27" si="1">E18-F18</f>
        <v>295.83938684999987</v>
      </c>
      <c r="H18" s="410"/>
      <c r="I18" s="411"/>
      <c r="J18" s="411"/>
      <c r="K18" s="412"/>
    </row>
    <row r="19" spans="1:11">
      <c r="A19" s="285">
        <v>3</v>
      </c>
      <c r="B19" s="286">
        <f>'Valuation output'!E3</f>
        <v>4403.3739750000004</v>
      </c>
      <c r="C19" s="287">
        <f>'Valuation output'!E4</f>
        <v>0.14025353593774648</v>
      </c>
      <c r="D19" s="274">
        <f t="shared" si="0"/>
        <v>617.58877005000011</v>
      </c>
      <c r="E19" s="286">
        <f>'Valuation output'!E7</f>
        <v>478.63129678875009</v>
      </c>
      <c r="F19" s="286">
        <f>'Valuation output'!E8</f>
        <v>185.49562500000002</v>
      </c>
      <c r="G19" s="317">
        <f t="shared" si="1"/>
        <v>293.13567178875007</v>
      </c>
      <c r="H19" s="410"/>
      <c r="I19" s="411"/>
      <c r="J19" s="411"/>
      <c r="K19" s="412"/>
    </row>
    <row r="20" spans="1:11">
      <c r="A20" s="285">
        <v>4</v>
      </c>
      <c r="B20" s="286">
        <f>'Valuation output'!F3</f>
        <v>4623.5426737500011</v>
      </c>
      <c r="C20" s="287">
        <f>'Valuation output'!F4</f>
        <v>0.13512676796887324</v>
      </c>
      <c r="D20" s="274">
        <f t="shared" si="0"/>
        <v>624.76437807000013</v>
      </c>
      <c r="E20" s="286">
        <f>'Valuation output'!F7</f>
        <v>484.19239300425011</v>
      </c>
      <c r="F20" s="286">
        <f>'Valuation output'!F8</f>
        <v>194.77040625000058</v>
      </c>
      <c r="G20" s="317">
        <f t="shared" si="1"/>
        <v>289.42198675424953</v>
      </c>
      <c r="H20" s="410"/>
      <c r="I20" s="411"/>
      <c r="J20" s="411"/>
      <c r="K20" s="412"/>
    </row>
    <row r="21" spans="1:11">
      <c r="A21" s="285">
        <v>5</v>
      </c>
      <c r="B21" s="286">
        <f>'Valuation output'!G3</f>
        <v>4854.719807437501</v>
      </c>
      <c r="C21" s="287">
        <f>'Valuation output'!G4</f>
        <v>0.13</v>
      </c>
      <c r="D21" s="274">
        <f t="shared" si="0"/>
        <v>631.11357496687515</v>
      </c>
      <c r="E21" s="286">
        <f>'Valuation output'!G7</f>
        <v>489.11302059932825</v>
      </c>
      <c r="F21" s="286">
        <f>'Valuation output'!G8</f>
        <v>204.50892656249991</v>
      </c>
      <c r="G21" s="317">
        <f t="shared" si="1"/>
        <v>284.60409403682831</v>
      </c>
      <c r="H21" s="410"/>
      <c r="I21" s="411"/>
      <c r="J21" s="411"/>
      <c r="K21" s="412"/>
    </row>
    <row r="22" spans="1:11">
      <c r="A22" s="285">
        <v>6</v>
      </c>
      <c r="B22" s="286">
        <f>'Valuation output'!H3</f>
        <v>5066.385591041776</v>
      </c>
      <c r="C22" s="287">
        <f>'Valuation output'!H4</f>
        <v>0.13</v>
      </c>
      <c r="D22" s="274">
        <f t="shared" si="0"/>
        <v>658.63012683543093</v>
      </c>
      <c r="E22" s="286">
        <f>'Valuation output'!H7</f>
        <v>504.51067715594007</v>
      </c>
      <c r="F22" s="286">
        <f>'Valuation output'!H8</f>
        <v>187.24837316062499</v>
      </c>
      <c r="G22" s="317">
        <f t="shared" si="1"/>
        <v>317.26230399531505</v>
      </c>
      <c r="H22" s="410"/>
      <c r="I22" s="411"/>
      <c r="J22" s="411"/>
      <c r="K22" s="412"/>
    </row>
    <row r="23" spans="1:11">
      <c r="A23" s="285">
        <v>7</v>
      </c>
      <c r="B23" s="286">
        <f>'Valuation output'!I3</f>
        <v>5254.8551350285297</v>
      </c>
      <c r="C23" s="287">
        <f>'Valuation output'!I4</f>
        <v>0.13</v>
      </c>
      <c r="D23" s="274">
        <f t="shared" si="0"/>
        <v>683.13116755370891</v>
      </c>
      <c r="E23" s="286">
        <f>'Valuation output'!I7</f>
        <v>517.13029383815763</v>
      </c>
      <c r="F23" s="286">
        <f>'Valuation output'!I8</f>
        <v>166.72801291219994</v>
      </c>
      <c r="G23" s="317">
        <f t="shared" si="1"/>
        <v>350.40228092595771</v>
      </c>
      <c r="H23" s="410"/>
      <c r="I23" s="411"/>
      <c r="J23" s="411"/>
      <c r="K23" s="412"/>
    </row>
    <row r="24" spans="1:11">
      <c r="A24" s="285">
        <v>8</v>
      </c>
      <c r="B24" s="286">
        <f>'Valuation output'!J3</f>
        <v>5416.7046731874079</v>
      </c>
      <c r="C24" s="287">
        <f>'Valuation output'!J4</f>
        <v>0.13</v>
      </c>
      <c r="D24" s="274">
        <f t="shared" si="0"/>
        <v>704.17160751436302</v>
      </c>
      <c r="E24" s="286">
        <f>'Valuation output'!J7</f>
        <v>526.72036242074353</v>
      </c>
      <c r="F24" s="286">
        <f>'Valuation output'!J8</f>
        <v>143.17884639166758</v>
      </c>
      <c r="G24" s="317">
        <f t="shared" si="1"/>
        <v>383.54151602907598</v>
      </c>
      <c r="H24" s="410"/>
      <c r="I24" s="411"/>
      <c r="J24" s="411"/>
      <c r="K24" s="412"/>
    </row>
    <row r="25" spans="1:11">
      <c r="A25" s="285">
        <v>9</v>
      </c>
      <c r="B25" s="286">
        <f>'Valuation output'!K3</f>
        <v>5548.8722672131807</v>
      </c>
      <c r="C25" s="287">
        <f>'Valuation output'!K4</f>
        <v>0.13</v>
      </c>
      <c r="D25" s="274">
        <f t="shared" si="0"/>
        <v>721.35339473771353</v>
      </c>
      <c r="E25" s="286">
        <f>'Valuation output'!K7</f>
        <v>533.08015871117027</v>
      </c>
      <c r="F25" s="286">
        <f>'Valuation output'!K8</f>
        <v>116.92096164275868</v>
      </c>
      <c r="G25" s="317">
        <f t="shared" si="1"/>
        <v>416.15919706841157</v>
      </c>
      <c r="H25" s="410"/>
      <c r="I25" s="411"/>
      <c r="J25" s="411"/>
      <c r="K25" s="412"/>
    </row>
    <row r="26" spans="1:11">
      <c r="A26" s="285">
        <v>10</v>
      </c>
      <c r="B26" s="286">
        <f>'Valuation output'!L3</f>
        <v>5648.751968023018</v>
      </c>
      <c r="C26" s="287">
        <f>'Valuation output'!L4</f>
        <v>0.13</v>
      </c>
      <c r="D26" s="274">
        <f t="shared" si="0"/>
        <v>734.33775584299235</v>
      </c>
      <c r="E26" s="286">
        <f>'Valuation output'!L7</f>
        <v>536.06656176538445</v>
      </c>
      <c r="F26" s="286">
        <f>'Valuation output'!L8</f>
        <v>88.357745734555508</v>
      </c>
      <c r="G26" s="317">
        <f t="shared" si="1"/>
        <v>447.70881603082893</v>
      </c>
      <c r="H26" s="410"/>
      <c r="I26" s="411"/>
      <c r="J26" s="411"/>
      <c r="K26" s="412"/>
    </row>
    <row r="27" spans="1:11" ht="17" thickBot="1">
      <c r="A27" s="288" t="s">
        <v>45</v>
      </c>
      <c r="B27" s="289">
        <f>'Valuation output'!M3</f>
        <v>5750.4295034474326</v>
      </c>
      <c r="C27" s="290">
        <f>'Valuation output'!M4</f>
        <v>0.13</v>
      </c>
      <c r="D27" s="274">
        <f t="shared" si="0"/>
        <v>747.55583544816625</v>
      </c>
      <c r="E27" s="289">
        <f>'Valuation output'!M7</f>
        <v>545.7157598771613</v>
      </c>
      <c r="F27" s="289">
        <f>'Valuation output'!M8</f>
        <v>155.91878853633185</v>
      </c>
      <c r="G27" s="317">
        <f t="shared" si="1"/>
        <v>389.79697134082949</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8662.1549186851007</v>
      </c>
      <c r="E29" s="292"/>
      <c r="F29" s="293"/>
      <c r="G29" s="294"/>
      <c r="H29" s="416" t="s">
        <v>648</v>
      </c>
      <c r="I29" s="417"/>
      <c r="J29" s="417"/>
      <c r="K29" s="417"/>
    </row>
    <row r="30" spans="1:11">
      <c r="A30" s="367" t="s">
        <v>627</v>
      </c>
      <c r="B30" s="368"/>
      <c r="C30" s="369"/>
      <c r="D30" s="295">
        <f>'Valuation output'!B19</f>
        <v>4283.4535558221942</v>
      </c>
      <c r="E30" s="296"/>
      <c r="F30" s="297"/>
      <c r="G30" s="298"/>
      <c r="H30" s="416"/>
      <c r="I30" s="417"/>
      <c r="J30" s="417"/>
      <c r="K30" s="417"/>
    </row>
    <row r="31" spans="1:11">
      <c r="A31" s="367" t="s">
        <v>46</v>
      </c>
      <c r="B31" s="368"/>
      <c r="C31" s="369"/>
      <c r="D31" s="295">
        <f>'Valuation output'!B20</f>
        <v>2245.206075167263</v>
      </c>
      <c r="E31" s="296"/>
      <c r="F31" s="297"/>
      <c r="G31" s="298"/>
      <c r="H31" s="416"/>
      <c r="I31" s="417"/>
      <c r="J31" s="417"/>
      <c r="K31" s="417"/>
    </row>
    <row r="32" spans="1:11">
      <c r="A32" s="367" t="s">
        <v>44</v>
      </c>
      <c r="B32" s="368"/>
      <c r="C32" s="369"/>
      <c r="D32" s="295">
        <f>'Valuation output'!B21</f>
        <v>6528.6596309894576</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1805</v>
      </c>
      <c r="E34" s="296"/>
      <c r="F34" s="297"/>
      <c r="G34" s="298"/>
      <c r="H34" s="416"/>
      <c r="I34" s="417"/>
      <c r="J34" s="417"/>
      <c r="K34" s="417"/>
    </row>
    <row r="35" spans="1:11">
      <c r="A35" s="367" t="s">
        <v>639</v>
      </c>
      <c r="B35" s="368"/>
      <c r="C35" s="369"/>
      <c r="D35" s="295">
        <f>'Valuation output'!B27+'Valuation output'!B28</f>
        <v>52</v>
      </c>
      <c r="E35" s="296"/>
      <c r="F35" s="297"/>
      <c r="G35" s="298"/>
      <c r="H35" s="416"/>
      <c r="I35" s="417"/>
      <c r="J35" s="417"/>
      <c r="K35" s="417"/>
    </row>
    <row r="36" spans="1:11">
      <c r="A36" s="367" t="s">
        <v>54</v>
      </c>
      <c r="B36" s="368"/>
      <c r="C36" s="369"/>
      <c r="D36" s="295">
        <f>D32-D33-D34+D35</f>
        <v>4775.6596309894576</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75.3</v>
      </c>
      <c r="E38" s="297"/>
      <c r="F38" s="300"/>
      <c r="G38" s="298"/>
      <c r="H38" s="416"/>
      <c r="I38" s="417"/>
      <c r="J38" s="417"/>
      <c r="K38" s="417"/>
    </row>
    <row r="39" spans="1:11" ht="17" thickBot="1">
      <c r="A39" s="422" t="s">
        <v>611</v>
      </c>
      <c r="B39" s="423"/>
      <c r="C39" s="423"/>
      <c r="D39" s="271">
        <f>(D36-D37)/D38</f>
        <v>63.421774647934363</v>
      </c>
      <c r="E39" s="424" t="s">
        <v>641</v>
      </c>
      <c r="F39" s="425"/>
      <c r="G39" s="315">
        <f>'Input sheet'!B20</f>
        <v>52.53</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3365</v>
      </c>
    </row>
    <row r="3" spans="1:4" s="144" customFormat="1" ht="13">
      <c r="A3" s="147" t="s">
        <v>8</v>
      </c>
      <c r="B3" s="148">
        <f>'Valuation output'!L39</f>
        <v>4997.1213976543077</v>
      </c>
    </row>
    <row r="4" spans="1:4" s="144" customFormat="1" ht="13">
      <c r="A4" s="147" t="s">
        <v>9</v>
      </c>
      <c r="B4" s="148">
        <f>B3-B2</f>
        <v>1632.1213976543077</v>
      </c>
    </row>
    <row r="5" spans="1:4" s="144" customFormat="1" ht="13">
      <c r="A5" s="147" t="s">
        <v>10</v>
      </c>
      <c r="B5" s="148">
        <f>'Valuation output'!L5-'Valuation output'!B5</f>
        <v>142.33775584299235</v>
      </c>
    </row>
    <row r="6" spans="1:4" s="144" customFormat="1" ht="13">
      <c r="A6" s="147" t="s">
        <v>4</v>
      </c>
      <c r="B6" s="149">
        <f>B5/B4</f>
        <v>8.7210274951091765E-2</v>
      </c>
    </row>
    <row r="7" spans="1:4" s="144" customFormat="1" ht="13">
      <c r="A7" s="147" t="s">
        <v>5</v>
      </c>
      <c r="B7" s="149">
        <f>'Valuation output'!L40</f>
        <v>0.10727507280832096</v>
      </c>
    </row>
    <row r="8" spans="1:4" s="144" customFormat="1" ht="13">
      <c r="A8" s="147" t="s">
        <v>233</v>
      </c>
      <c r="B8" s="149">
        <f>(1/'Valuation output'!L13)^(1/10)-1</f>
        <v>7.2959151798854593E-2</v>
      </c>
    </row>
    <row r="9" spans="1:4" s="144" customFormat="1" ht="14" thickBot="1">
      <c r="A9" s="150" t="s">
        <v>28</v>
      </c>
      <c r="B9" s="151">
        <f>'Valuation output'!B33/'Valuation output'!B34</f>
        <v>1.207343892022356</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3803.8</v>
      </c>
      <c r="D2" s="331">
        <f>'Valuation output'!B4</f>
        <v>0.15563383984436616</v>
      </c>
      <c r="E2" s="330">
        <f>B2*D2</f>
        <v>592</v>
      </c>
      <c r="F2" s="330">
        <f>'Valuation output'!B10</f>
        <v>0</v>
      </c>
      <c r="G2" s="330">
        <f>E2-H2</f>
        <v>133.19999999999999</v>
      </c>
      <c r="H2" s="330">
        <f>'Valuation output'!B7</f>
        <v>458.8</v>
      </c>
    </row>
    <row r="3" spans="1:8" s="329" customFormat="1">
      <c r="A3" s="329">
        <v>1</v>
      </c>
      <c r="B3" s="330">
        <f>'Valuation output'!C3</f>
        <v>3993.9900000000002</v>
      </c>
      <c r="C3" s="331">
        <f>'Valuation output'!C2</f>
        <v>0.05</v>
      </c>
      <c r="D3" s="331">
        <f>'Valuation output'!C4</f>
        <v>0.15050707187549292</v>
      </c>
      <c r="E3" s="330">
        <f>B3*D3</f>
        <v>601.12374</v>
      </c>
      <c r="F3" s="330">
        <f>'Valuation output'!C10</f>
        <v>0</v>
      </c>
      <c r="G3" s="330">
        <f t="shared" ref="G3:G12" si="0">E3-H3</f>
        <v>135.25284150000005</v>
      </c>
      <c r="H3" s="330">
        <f>'Valuation output'!C7</f>
        <v>465.87089849999995</v>
      </c>
    </row>
    <row r="4" spans="1:8" s="329" customFormat="1">
      <c r="A4" s="329">
        <v>2</v>
      </c>
      <c r="B4" s="333">
        <f>'Valuation output'!D3</f>
        <v>4193.6895000000004</v>
      </c>
      <c r="C4" s="331">
        <f>B4/B3-1</f>
        <v>5.0000000000000044E-2</v>
      </c>
      <c r="D4" s="331">
        <f>'Valuation output'!D4</f>
        <v>0.14538030390661968</v>
      </c>
      <c r="E4" s="330">
        <f t="shared" ref="E4:E12" si="1">B4*D4</f>
        <v>609.67985399999998</v>
      </c>
      <c r="F4" s="330">
        <f>'Valuation output'!D10</f>
        <v>0</v>
      </c>
      <c r="G4" s="330">
        <f t="shared" si="0"/>
        <v>137.17796714999997</v>
      </c>
      <c r="H4" s="330">
        <f>'Valuation output'!D7</f>
        <v>472.50188685000001</v>
      </c>
    </row>
    <row r="5" spans="1:8" s="329" customFormat="1">
      <c r="A5" s="329">
        <v>3</v>
      </c>
      <c r="B5" s="330">
        <f>'Valuation output'!E3</f>
        <v>4403.3739750000004</v>
      </c>
      <c r="C5" s="331">
        <f t="shared" ref="C5:C12" si="2">B5/B4-1</f>
        <v>5.0000000000000044E-2</v>
      </c>
      <c r="D5" s="331">
        <f>'Valuation output'!E4</f>
        <v>0.14025353593774648</v>
      </c>
      <c r="E5" s="330">
        <f t="shared" si="1"/>
        <v>617.58877005000011</v>
      </c>
      <c r="F5" s="330">
        <f>'Valuation output'!E10</f>
        <v>0</v>
      </c>
      <c r="G5" s="330">
        <f t="shared" si="0"/>
        <v>138.95747326125002</v>
      </c>
      <c r="H5" s="330">
        <f>'Valuation output'!E7</f>
        <v>478.63129678875009</v>
      </c>
    </row>
    <row r="6" spans="1:8" s="329" customFormat="1">
      <c r="A6" s="329">
        <v>4</v>
      </c>
      <c r="B6" s="330">
        <f>'Valuation output'!F3</f>
        <v>4623.5426737500011</v>
      </c>
      <c r="C6" s="331">
        <f t="shared" si="2"/>
        <v>5.0000000000000044E-2</v>
      </c>
      <c r="D6" s="331">
        <f>'Valuation output'!F4</f>
        <v>0.13512676796887324</v>
      </c>
      <c r="E6" s="330">
        <f t="shared" si="1"/>
        <v>624.76437807000013</v>
      </c>
      <c r="F6" s="330">
        <f>'Valuation output'!F10</f>
        <v>0</v>
      </c>
      <c r="G6" s="330">
        <f t="shared" si="0"/>
        <v>140.57198506575003</v>
      </c>
      <c r="H6" s="330">
        <f>'Valuation output'!F7</f>
        <v>484.19239300425011</v>
      </c>
    </row>
    <row r="7" spans="1:8" s="329" customFormat="1">
      <c r="A7" s="329">
        <v>5</v>
      </c>
      <c r="B7" s="330">
        <f>'Valuation output'!G3</f>
        <v>4854.719807437501</v>
      </c>
      <c r="C7" s="331">
        <f t="shared" si="2"/>
        <v>5.0000000000000044E-2</v>
      </c>
      <c r="D7" s="331">
        <f>'Valuation output'!G4</f>
        <v>0.13</v>
      </c>
      <c r="E7" s="330">
        <f t="shared" si="1"/>
        <v>631.11357496687515</v>
      </c>
      <c r="F7" s="330">
        <f>'Valuation output'!G10</f>
        <v>0</v>
      </c>
      <c r="G7" s="330">
        <f t="shared" si="0"/>
        <v>142.0005543675469</v>
      </c>
      <c r="H7" s="330">
        <f>'Valuation output'!G7</f>
        <v>489.11302059932825</v>
      </c>
    </row>
    <row r="8" spans="1:8" s="329" customFormat="1">
      <c r="A8" s="329">
        <v>6</v>
      </c>
      <c r="B8" s="330">
        <f>'Valuation output'!H3</f>
        <v>5066.385591041776</v>
      </c>
      <c r="C8" s="331">
        <f t="shared" si="2"/>
        <v>4.3600000000000083E-2</v>
      </c>
      <c r="D8" s="331">
        <f>'Valuation output'!H4</f>
        <v>0.13</v>
      </c>
      <c r="E8" s="330">
        <f t="shared" si="1"/>
        <v>658.63012683543093</v>
      </c>
      <c r="F8" s="330">
        <f>'Valuation output'!H10</f>
        <v>0</v>
      </c>
      <c r="G8" s="330">
        <f t="shared" si="0"/>
        <v>154.11944967949086</v>
      </c>
      <c r="H8" s="330">
        <f>'Valuation output'!H7</f>
        <v>504.51067715594007</v>
      </c>
    </row>
    <row r="9" spans="1:8" s="329" customFormat="1">
      <c r="A9" s="329">
        <v>7</v>
      </c>
      <c r="B9" s="330">
        <f>'Valuation output'!I3</f>
        <v>5254.8551350285297</v>
      </c>
      <c r="C9" s="331">
        <f t="shared" si="2"/>
        <v>3.71999999999999E-2</v>
      </c>
      <c r="D9" s="331">
        <f>'Valuation output'!I4</f>
        <v>0.13</v>
      </c>
      <c r="E9" s="330">
        <f t="shared" si="1"/>
        <v>683.13116755370891</v>
      </c>
      <c r="F9" s="330">
        <f>'Valuation output'!I10</f>
        <v>0</v>
      </c>
      <c r="G9" s="330">
        <f t="shared" si="0"/>
        <v>166.00087371555128</v>
      </c>
      <c r="H9" s="330">
        <f>'Valuation output'!I7</f>
        <v>517.13029383815763</v>
      </c>
    </row>
    <row r="10" spans="1:8" s="329" customFormat="1">
      <c r="A10" s="329">
        <v>8</v>
      </c>
      <c r="B10" s="330">
        <f>'Valuation output'!J3</f>
        <v>5416.7046731874079</v>
      </c>
      <c r="C10" s="331">
        <f t="shared" si="2"/>
        <v>3.0799999999999939E-2</v>
      </c>
      <c r="D10" s="331">
        <f>'Valuation output'!J4</f>
        <v>0.13</v>
      </c>
      <c r="E10" s="330">
        <f t="shared" si="1"/>
        <v>704.17160751436302</v>
      </c>
      <c r="F10" s="330">
        <f>'Valuation output'!J10</f>
        <v>0</v>
      </c>
      <c r="G10" s="330">
        <f t="shared" si="0"/>
        <v>177.45124509361949</v>
      </c>
      <c r="H10" s="330">
        <f>'Valuation output'!J7</f>
        <v>526.72036242074353</v>
      </c>
    </row>
    <row r="11" spans="1:8" s="329" customFormat="1">
      <c r="A11" s="329">
        <v>9</v>
      </c>
      <c r="B11" s="330">
        <f>'Valuation output'!K3</f>
        <v>5548.8722672131807</v>
      </c>
      <c r="C11" s="331">
        <f t="shared" si="2"/>
        <v>2.4399999999999977E-2</v>
      </c>
      <c r="D11" s="331">
        <f>'Valuation output'!K4</f>
        <v>0.13</v>
      </c>
      <c r="E11" s="330">
        <f t="shared" si="1"/>
        <v>721.35339473771353</v>
      </c>
      <c r="F11" s="330">
        <f>'Valuation output'!K10</f>
        <v>0</v>
      </c>
      <c r="G11" s="330">
        <f t="shared" si="0"/>
        <v>188.27323602654326</v>
      </c>
      <c r="H11" s="330">
        <f>'Valuation output'!K7</f>
        <v>533.08015871117027</v>
      </c>
    </row>
    <row r="12" spans="1:8" s="329" customFormat="1">
      <c r="A12" s="329">
        <v>10</v>
      </c>
      <c r="B12" s="330">
        <f>'Valuation output'!L3</f>
        <v>5648.751968023018</v>
      </c>
      <c r="C12" s="331">
        <f t="shared" si="2"/>
        <v>1.8000000000000016E-2</v>
      </c>
      <c r="D12" s="331">
        <f>'Valuation output'!L4</f>
        <v>0.13</v>
      </c>
      <c r="E12" s="330">
        <f t="shared" si="1"/>
        <v>734.33775584299235</v>
      </c>
      <c r="F12" s="330">
        <f>'Valuation output'!L10</f>
        <v>0</v>
      </c>
      <c r="G12" s="330">
        <f t="shared" si="0"/>
        <v>198.2711940776079</v>
      </c>
      <c r="H12" s="330">
        <f>'Valuation output'!L7</f>
        <v>536.06656176538445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458.8</v>
      </c>
      <c r="G15" s="335">
        <f>'Valuation output'!B39</f>
        <v>3365</v>
      </c>
      <c r="H15" s="336">
        <f>B15/G15</f>
        <v>0.1363447251114413</v>
      </c>
    </row>
    <row r="16" spans="1:8" s="329" customFormat="1">
      <c r="A16" s="329">
        <f t="shared" ref="A16:A24" si="3">A3</f>
        <v>1</v>
      </c>
      <c r="B16" s="330">
        <f t="shared" ref="B16:B25" si="4">H3</f>
        <v>465.87089849999995</v>
      </c>
      <c r="C16" s="330">
        <f>B3-B2</f>
        <v>190.19000000000005</v>
      </c>
      <c r="D16" s="334">
        <f>'Valuation output'!C38</f>
        <v>1.1304011887072809</v>
      </c>
      <c r="E16" s="330">
        <f>C16/D16</f>
        <v>168.25000000000003</v>
      </c>
      <c r="F16" s="330">
        <f>B16-E16</f>
        <v>297.62089849999995</v>
      </c>
      <c r="G16" s="330">
        <f>G15+E16</f>
        <v>3533.25</v>
      </c>
      <c r="H16" s="336">
        <f t="shared" ref="H16:H25" si="5">B16/G16</f>
        <v>0.13185336404160475</v>
      </c>
    </row>
    <row r="17" spans="1:8" s="329" customFormat="1">
      <c r="A17" s="329">
        <f t="shared" si="3"/>
        <v>2</v>
      </c>
      <c r="B17" s="330">
        <f t="shared" si="4"/>
        <v>472.50188685000001</v>
      </c>
      <c r="C17" s="330">
        <f t="shared" ref="C17:C25" si="6">B4-B3</f>
        <v>199.69950000000017</v>
      </c>
      <c r="D17" s="334">
        <f>'Valuation output'!D38</f>
        <v>1.1304011887072809</v>
      </c>
      <c r="E17" s="330">
        <f t="shared" ref="E17:E25" si="7">C17/D17</f>
        <v>176.66250000000014</v>
      </c>
      <c r="F17" s="330">
        <f t="shared" ref="F17:F25" si="8">B17-E17</f>
        <v>295.83938684999987</v>
      </c>
      <c r="G17" s="330">
        <f t="shared" ref="G17:G25" si="9">G16+E17</f>
        <v>3709.9125000000004</v>
      </c>
      <c r="H17" s="336">
        <f t="shared" si="5"/>
        <v>0.1273620029717682</v>
      </c>
    </row>
    <row r="18" spans="1:8" s="329" customFormat="1">
      <c r="A18" s="329">
        <f t="shared" si="3"/>
        <v>3</v>
      </c>
      <c r="B18" s="330">
        <f t="shared" si="4"/>
        <v>478.63129678875009</v>
      </c>
      <c r="C18" s="330">
        <f t="shared" si="6"/>
        <v>209.68447500000002</v>
      </c>
      <c r="D18" s="334">
        <f>'Valuation output'!E38</f>
        <v>1.1304011887072809</v>
      </c>
      <c r="E18" s="330">
        <f t="shared" si="7"/>
        <v>185.49562500000002</v>
      </c>
      <c r="F18" s="330">
        <f t="shared" si="8"/>
        <v>293.13567178875007</v>
      </c>
      <c r="G18" s="330">
        <f t="shared" si="9"/>
        <v>3895.4081250000004</v>
      </c>
      <c r="H18" s="336">
        <f t="shared" si="5"/>
        <v>0.12287064190193166</v>
      </c>
    </row>
    <row r="19" spans="1:8" s="329" customFormat="1">
      <c r="A19" s="329">
        <f t="shared" si="3"/>
        <v>4</v>
      </c>
      <c r="B19" s="330">
        <f t="shared" si="4"/>
        <v>484.19239300425011</v>
      </c>
      <c r="C19" s="330">
        <f t="shared" si="6"/>
        <v>220.16869875000066</v>
      </c>
      <c r="D19" s="334">
        <f>'Valuation output'!F38</f>
        <v>1.1304011887072809</v>
      </c>
      <c r="E19" s="330">
        <f t="shared" si="7"/>
        <v>194.77040625000058</v>
      </c>
      <c r="F19" s="330">
        <f t="shared" si="8"/>
        <v>289.42198675424953</v>
      </c>
      <c r="G19" s="330">
        <f t="shared" si="9"/>
        <v>4090.178531250001</v>
      </c>
      <c r="H19" s="336">
        <f t="shared" si="5"/>
        <v>0.11837928083209509</v>
      </c>
    </row>
    <row r="20" spans="1:8" s="329" customFormat="1">
      <c r="A20" s="329">
        <f t="shared" si="3"/>
        <v>5</v>
      </c>
      <c r="B20" s="330">
        <f t="shared" si="4"/>
        <v>489.11302059932825</v>
      </c>
      <c r="C20" s="330">
        <f t="shared" si="6"/>
        <v>231.17713368749992</v>
      </c>
      <c r="D20" s="334">
        <f>'Valuation output'!G38</f>
        <v>1.1304011887072809</v>
      </c>
      <c r="E20" s="330">
        <f t="shared" si="7"/>
        <v>204.50892656249991</v>
      </c>
      <c r="F20" s="330">
        <f t="shared" si="8"/>
        <v>284.60409403682831</v>
      </c>
      <c r="G20" s="330">
        <f t="shared" si="9"/>
        <v>4294.6874578125007</v>
      </c>
      <c r="H20" s="336">
        <f t="shared" si="5"/>
        <v>0.11388791976225855</v>
      </c>
    </row>
    <row r="21" spans="1:8" s="329" customFormat="1">
      <c r="A21" s="329">
        <f t="shared" si="3"/>
        <v>6</v>
      </c>
      <c r="B21" s="330">
        <f t="shared" si="4"/>
        <v>504.51067715594007</v>
      </c>
      <c r="C21" s="330">
        <f t="shared" si="6"/>
        <v>211.66578360427502</v>
      </c>
      <c r="D21" s="334">
        <f>'Valuation output'!H38</f>
        <v>1.1304011887072809</v>
      </c>
      <c r="E21" s="330">
        <f t="shared" si="7"/>
        <v>187.24837316062499</v>
      </c>
      <c r="F21" s="330">
        <f t="shared" si="8"/>
        <v>317.26230399531505</v>
      </c>
      <c r="G21" s="330">
        <f t="shared" si="9"/>
        <v>4481.935830973126</v>
      </c>
      <c r="H21" s="336">
        <f t="shared" si="5"/>
        <v>0.11256535037147103</v>
      </c>
    </row>
    <row r="22" spans="1:8" s="329" customFormat="1">
      <c r="A22" s="329">
        <f t="shared" si="3"/>
        <v>7</v>
      </c>
      <c r="B22" s="330">
        <f t="shared" si="4"/>
        <v>517.13029383815763</v>
      </c>
      <c r="C22" s="330">
        <f t="shared" si="6"/>
        <v>188.46954398675371</v>
      </c>
      <c r="D22" s="334">
        <f>'Valuation output'!I38</f>
        <v>1.1304011887072809</v>
      </c>
      <c r="E22" s="330">
        <f t="shared" si="7"/>
        <v>166.72801291219994</v>
      </c>
      <c r="F22" s="330">
        <f t="shared" si="8"/>
        <v>350.40228092595771</v>
      </c>
      <c r="G22" s="330">
        <f t="shared" si="9"/>
        <v>4648.6638438853261</v>
      </c>
      <c r="H22" s="336">
        <f t="shared" si="5"/>
        <v>0.11124278098068351</v>
      </c>
    </row>
    <row r="23" spans="1:8" s="329" customFormat="1">
      <c r="A23" s="329">
        <f t="shared" si="3"/>
        <v>8</v>
      </c>
      <c r="B23" s="330">
        <f t="shared" si="4"/>
        <v>526.72036242074353</v>
      </c>
      <c r="C23" s="330">
        <f t="shared" si="6"/>
        <v>161.8495381588782</v>
      </c>
      <c r="D23" s="334">
        <f>'Valuation output'!J38</f>
        <v>1.1304011887072809</v>
      </c>
      <c r="E23" s="330">
        <f t="shared" si="7"/>
        <v>143.17884639166758</v>
      </c>
      <c r="F23" s="330">
        <f t="shared" si="8"/>
        <v>383.54151602907598</v>
      </c>
      <c r="G23" s="330">
        <f t="shared" si="9"/>
        <v>4791.8426902769934</v>
      </c>
      <c r="H23" s="336">
        <f t="shared" si="5"/>
        <v>0.10992021158989598</v>
      </c>
    </row>
    <row r="24" spans="1:8" s="329" customFormat="1">
      <c r="A24" s="329">
        <f t="shared" si="3"/>
        <v>9</v>
      </c>
      <c r="B24" s="330">
        <f t="shared" si="4"/>
        <v>533.08015871117027</v>
      </c>
      <c r="C24" s="330">
        <f t="shared" si="6"/>
        <v>132.16759402577281</v>
      </c>
      <c r="D24" s="334">
        <f>'Valuation output'!K38</f>
        <v>1.1304011887072809</v>
      </c>
      <c r="E24" s="330">
        <f t="shared" si="7"/>
        <v>116.92096164275868</v>
      </c>
      <c r="F24" s="330">
        <f t="shared" si="8"/>
        <v>416.15919706841157</v>
      </c>
      <c r="G24" s="330">
        <f t="shared" si="9"/>
        <v>4908.7636519197522</v>
      </c>
      <c r="H24" s="336">
        <f t="shared" si="5"/>
        <v>0.10859764219910847</v>
      </c>
    </row>
    <row r="25" spans="1:8" s="329" customFormat="1">
      <c r="A25" s="329">
        <f>A12</f>
        <v>10</v>
      </c>
      <c r="B25" s="330">
        <f t="shared" si="4"/>
        <v>536.06656176538445</v>
      </c>
      <c r="C25" s="330">
        <f t="shared" si="6"/>
        <v>99.879700809837232</v>
      </c>
      <c r="D25" s="334">
        <f>'Valuation output'!L38</f>
        <v>1.1304011887072809</v>
      </c>
      <c r="E25" s="330">
        <f t="shared" si="7"/>
        <v>88.357745734555508</v>
      </c>
      <c r="F25" s="330">
        <f t="shared" si="8"/>
        <v>447.70881603082893</v>
      </c>
      <c r="G25" s="330">
        <f t="shared" si="9"/>
        <v>4997.1213976543077</v>
      </c>
      <c r="H25" s="336">
        <f t="shared" si="5"/>
        <v>0.10727507280832096</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7.7244964099045701E-2</v>
      </c>
    </row>
    <row r="29" spans="1:8">
      <c r="A29">
        <f t="shared" ref="A29:A37" si="10">A17</f>
        <v>2</v>
      </c>
      <c r="H29" s="324">
        <f>'Valuation output'!D12</f>
        <v>7.7244964099045701E-2</v>
      </c>
    </row>
    <row r="30" spans="1:8">
      <c r="A30">
        <f t="shared" si="10"/>
        <v>3</v>
      </c>
      <c r="H30" s="324">
        <f>'Valuation output'!E12</f>
        <v>7.7244964099045701E-2</v>
      </c>
    </row>
    <row r="31" spans="1:8">
      <c r="A31">
        <f t="shared" si="10"/>
        <v>4</v>
      </c>
      <c r="H31" s="324">
        <f>'Valuation output'!F12</f>
        <v>7.7244964099045701E-2</v>
      </c>
    </row>
    <row r="32" spans="1:8">
      <c r="A32">
        <f t="shared" si="10"/>
        <v>5</v>
      </c>
      <c r="H32" s="324">
        <f>'Valuation output'!G12</f>
        <v>7.7244964099045701E-2</v>
      </c>
    </row>
    <row r="33" spans="1:8">
      <c r="A33">
        <f t="shared" si="10"/>
        <v>6</v>
      </c>
      <c r="H33" s="324">
        <f>'Valuation output'!H12</f>
        <v>7.4395971279236556E-2</v>
      </c>
    </row>
    <row r="34" spans="1:8">
      <c r="A34">
        <f t="shared" si="10"/>
        <v>7</v>
      </c>
      <c r="H34" s="324">
        <f>'Valuation output'!I12</f>
        <v>7.154697845942741E-2</v>
      </c>
    </row>
    <row r="35" spans="1:8">
      <c r="A35">
        <f t="shared" si="10"/>
        <v>8</v>
      </c>
      <c r="H35" s="324">
        <f>'Valuation output'!J12</f>
        <v>6.8697985639618264E-2</v>
      </c>
    </row>
    <row r="36" spans="1:8">
      <c r="A36">
        <f t="shared" si="10"/>
        <v>9</v>
      </c>
      <c r="H36" s="324">
        <f>'Valuation output'!K12</f>
        <v>6.5848992819809118E-2</v>
      </c>
    </row>
    <row r="37" spans="1:8">
      <c r="A37">
        <f t="shared" si="10"/>
        <v>10</v>
      </c>
      <c r="H37" s="324">
        <f>'Valuation output'!L12</f>
        <v>6.2999999999999973E-2</v>
      </c>
    </row>
    <row r="38" spans="1:8" ht="13" thickBot="1"/>
    <row r="39" spans="1:8" ht="31" thickBot="1">
      <c r="A39" s="328" t="s">
        <v>115</v>
      </c>
      <c r="B39" s="328" t="s">
        <v>668</v>
      </c>
      <c r="C39" s="328" t="s">
        <v>671</v>
      </c>
      <c r="D39" s="328" t="s">
        <v>16</v>
      </c>
      <c r="E39" s="328" t="s">
        <v>672</v>
      </c>
      <c r="F39" s="328" t="s">
        <v>125</v>
      </c>
    </row>
    <row r="40" spans="1:8">
      <c r="A40">
        <f>A28</f>
        <v>1</v>
      </c>
      <c r="B40" s="337">
        <f>H28</f>
        <v>7.7244964099045701E-2</v>
      </c>
      <c r="C40" s="338">
        <f>(1+'Summary Sheet'!B40)</f>
        <v>1.0772449640990458</v>
      </c>
      <c r="D40" s="332">
        <f>F16</f>
        <v>297.62089849999995</v>
      </c>
      <c r="F40" s="332">
        <f>D40/C40</f>
        <v>276.27968421176632</v>
      </c>
    </row>
    <row r="41" spans="1:8">
      <c r="A41">
        <f t="shared" ref="A41:A49" si="11">A29</f>
        <v>2</v>
      </c>
      <c r="B41" s="337">
        <f t="shared" ref="B41:B49" si="12">H29</f>
        <v>7.7244964099045701E-2</v>
      </c>
      <c r="C41" s="338">
        <f>C40*(1+B41)</f>
        <v>1.1604567126767544</v>
      </c>
      <c r="D41" s="332">
        <f t="shared" ref="D41:D49" si="13">F17</f>
        <v>295.83938684999987</v>
      </c>
      <c r="F41" s="332">
        <f t="shared" ref="F41:F48" si="14">D41/C41</f>
        <v>254.93358228555141</v>
      </c>
    </row>
    <row r="42" spans="1:8">
      <c r="A42">
        <f t="shared" si="11"/>
        <v>3</v>
      </c>
      <c r="B42" s="337">
        <f t="shared" si="12"/>
        <v>7.7244964099045701E-2</v>
      </c>
      <c r="C42" s="338">
        <f t="shared" ref="C42:C49" si="15">C41*(1+B42)</f>
        <v>1.2500961497859671</v>
      </c>
      <c r="D42" s="332">
        <f t="shared" si="13"/>
        <v>293.13567178875007</v>
      </c>
      <c r="F42" s="332">
        <f t="shared" si="14"/>
        <v>234.49050046185548</v>
      </c>
    </row>
    <row r="43" spans="1:8">
      <c r="A43">
        <f t="shared" si="11"/>
        <v>4</v>
      </c>
      <c r="B43" s="337">
        <f t="shared" si="12"/>
        <v>7.7244964099045701E-2</v>
      </c>
      <c r="C43" s="338">
        <f t="shared" si="15"/>
        <v>1.3466597819965396</v>
      </c>
      <c r="D43" s="332">
        <f t="shared" si="13"/>
        <v>289.42198675424953</v>
      </c>
      <c r="F43" s="332">
        <f t="shared" si="14"/>
        <v>214.91841564107335</v>
      </c>
    </row>
    <row r="44" spans="1:8">
      <c r="A44">
        <f t="shared" si="11"/>
        <v>5</v>
      </c>
      <c r="B44" s="337">
        <f t="shared" si="12"/>
        <v>7.7244964099045701E-2</v>
      </c>
      <c r="C44" s="338">
        <f t="shared" si="15"/>
        <v>1.4506824685104911</v>
      </c>
      <c r="D44" s="332">
        <f t="shared" si="13"/>
        <v>284.60409403682831</v>
      </c>
      <c r="F44" s="332">
        <f t="shared" si="14"/>
        <v>196.18634691921909</v>
      </c>
    </row>
    <row r="45" spans="1:8">
      <c r="A45">
        <f t="shared" si="11"/>
        <v>6</v>
      </c>
      <c r="B45" s="337">
        <f t="shared" si="12"/>
        <v>7.4395971279236556E-2</v>
      </c>
      <c r="C45" s="338">
        <f t="shared" si="15"/>
        <v>1.5586073997730896</v>
      </c>
      <c r="D45" s="332">
        <f t="shared" si="13"/>
        <v>317.26230399531505</v>
      </c>
      <c r="F45" s="332">
        <f t="shared" si="14"/>
        <v>203.5549837896983</v>
      </c>
    </row>
    <row r="46" spans="1:8">
      <c r="A46">
        <f t="shared" si="11"/>
        <v>7</v>
      </c>
      <c r="B46" s="337">
        <f t="shared" si="12"/>
        <v>7.154697845942741E-2</v>
      </c>
      <c r="C46" s="338">
        <f t="shared" si="15"/>
        <v>1.670121049831359</v>
      </c>
      <c r="D46" s="332">
        <f t="shared" si="13"/>
        <v>350.40228092595771</v>
      </c>
      <c r="F46" s="332">
        <f t="shared" si="14"/>
        <v>209.80651729486297</v>
      </c>
    </row>
    <row r="47" spans="1:8">
      <c r="A47">
        <f t="shared" si="11"/>
        <v>8</v>
      </c>
      <c r="B47" s="337">
        <f t="shared" si="12"/>
        <v>6.8697985639618264E-2</v>
      </c>
      <c r="C47" s="338">
        <f t="shared" si="15"/>
        <v>1.7848550017290976</v>
      </c>
      <c r="D47" s="332">
        <f t="shared" si="13"/>
        <v>383.54151602907598</v>
      </c>
      <c r="F47" s="332">
        <f t="shared" si="14"/>
        <v>214.88665222525975</v>
      </c>
    </row>
    <row r="48" spans="1:8">
      <c r="A48">
        <f t="shared" si="11"/>
        <v>9</v>
      </c>
      <c r="B48" s="337">
        <f t="shared" si="12"/>
        <v>6.5848992819809118E-2</v>
      </c>
      <c r="C48" s="338">
        <f t="shared" si="15"/>
        <v>1.9023859059223573</v>
      </c>
      <c r="D48" s="332">
        <f t="shared" si="13"/>
        <v>416.15919706841157</v>
      </c>
      <c r="F48" s="332">
        <f t="shared" si="14"/>
        <v>218.7564551297703</v>
      </c>
    </row>
    <row r="49" spans="1:6">
      <c r="A49">
        <f t="shared" si="11"/>
        <v>10</v>
      </c>
      <c r="B49" s="337">
        <f t="shared" si="12"/>
        <v>6.2999999999999973E-2</v>
      </c>
      <c r="C49" s="338">
        <f t="shared" si="15"/>
        <v>2.0222362179954656</v>
      </c>
      <c r="D49" s="332">
        <f t="shared" si="13"/>
        <v>447.70881603082893</v>
      </c>
      <c r="E49" s="332">
        <f>'Valuation output'!B18</f>
        <v>8662.1549186851007</v>
      </c>
      <c r="F49" s="332">
        <f>(D49+E49)/C49</f>
        <v>4504.8464930303981</v>
      </c>
    </row>
    <row r="50" spans="1:6">
      <c r="A50" t="s">
        <v>44</v>
      </c>
      <c r="F50" s="332">
        <f>SUM(F40:F49)</f>
        <v>6528.6596309894549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40</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3.6</v>
      </c>
    </row>
    <row r="9" spans="1:7" ht="14">
      <c r="A9" s="8" t="s">
        <v>68</v>
      </c>
      <c r="B9" s="8"/>
      <c r="D9" s="13">
        <f>'Input sheet'!B19</f>
        <v>75.3</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3.6</v>
      </c>
      <c r="G13" s="20"/>
    </row>
    <row r="14" spans="1:7" s="8" customFormat="1" ht="14">
      <c r="A14" s="8" t="s">
        <v>73</v>
      </c>
      <c r="C14" s="18">
        <f>D3</f>
        <v>40</v>
      </c>
      <c r="D14" s="8" t="s">
        <v>74</v>
      </c>
      <c r="F14" s="21">
        <f>D9</f>
        <v>75.3</v>
      </c>
      <c r="G14" s="20"/>
    </row>
    <row r="15" spans="1:7" s="8" customFormat="1" ht="14">
      <c r="A15" s="8" t="s">
        <v>75</v>
      </c>
      <c r="C15" s="18">
        <f ca="1">(C13*F14+C26*F13)/(F14+F13)</f>
        <v>126.09239764538493</v>
      </c>
      <c r="D15" s="8" t="s">
        <v>76</v>
      </c>
      <c r="F15" s="22">
        <f>D7</f>
        <v>1.7999999999999999E-2</v>
      </c>
    </row>
    <row r="16" spans="1:7" s="8" customFormat="1" ht="14">
      <c r="A16" s="8" t="s">
        <v>77</v>
      </c>
      <c r="C16" s="18">
        <f>C14</f>
        <v>40</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2.2264617167806926</v>
      </c>
    </row>
    <row r="21" spans="1:7" s="8" customFormat="1" ht="14">
      <c r="A21" s="8" t="s">
        <v>83</v>
      </c>
      <c r="B21" s="19">
        <f ca="1">NORMSDIST(B20)</f>
        <v>0.98700836473438014</v>
      </c>
    </row>
    <row r="22" spans="1:7" s="8" customFormat="1" ht="14"/>
    <row r="23" spans="1:7" s="8" customFormat="1" ht="15.75" customHeight="1">
      <c r="A23" s="8" t="s">
        <v>84</v>
      </c>
      <c r="B23" s="19">
        <f ca="1">B20-((F16^0.5)*(C17^(0.5)))</f>
        <v>1.5864617167806925</v>
      </c>
    </row>
    <row r="24" spans="1:7" s="8" customFormat="1" ht="14">
      <c r="A24" s="8" t="s">
        <v>85</v>
      </c>
      <c r="B24" s="19">
        <f ca="1">NORMSDIST(B23)</f>
        <v>0.94368269506610425</v>
      </c>
    </row>
    <row r="25" spans="1:7" ht="15" thickBot="1">
      <c r="A25" s="8"/>
      <c r="B25" s="8"/>
    </row>
    <row r="26" spans="1:7" s="8" customFormat="1" ht="15" thickBot="1">
      <c r="A26" s="8" t="s">
        <v>86</v>
      </c>
      <c r="C26" s="25">
        <f ca="1">((EXP((0-F17)*C17))*C15*B21-C16*(EXP((0-F15)*C17))*B24)</f>
        <v>89.329215061352798</v>
      </c>
      <c r="G26" s="26"/>
    </row>
    <row r="27" spans="1:7" s="8" customFormat="1" ht="15" thickBot="1">
      <c r="A27" s="8" t="s">
        <v>87</v>
      </c>
      <c r="D27" s="27">
        <f ca="1">C26*D8</f>
        <v>321.5851742208701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5" sqref="D25"/>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75.3</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52.53</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1.0121653053546547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6.0507648640002867E-2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1600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74</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385</v>
      </c>
      <c r="I23" s="24">
        <f>'Country equity risk premiums'!B196</f>
        <v>9.9761014464051528E-2</v>
      </c>
      <c r="J23" s="123">
        <f t="shared" si="2"/>
        <v>0.10464800217450394</v>
      </c>
      <c r="K23" s="165">
        <f t="shared" si="3"/>
        <v>1.0439790858564784E-2</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1798</v>
      </c>
      <c r="I25" s="24">
        <f>'Country equity risk premiums'!B198</f>
        <v>5.1999999999999998E-2</v>
      </c>
      <c r="J25" s="123">
        <f t="shared" si="2"/>
        <v>0.48871976080456647</v>
      </c>
      <c r="K25" s="165">
        <f t="shared" si="3"/>
        <v>2.5413427561837454E-2</v>
      </c>
    </row>
    <row r="26" spans="1:17" s="8" customFormat="1" ht="15" customHeight="1">
      <c r="A26" s="8" t="s">
        <v>185</v>
      </c>
      <c r="B26" s="236">
        <f>'Input sheet'!B22</f>
        <v>0.27</v>
      </c>
      <c r="G26" s="19" t="str">
        <f>'Country equity risk premiums'!A199</f>
        <v>Europe</v>
      </c>
      <c r="H26" s="230">
        <v>762</v>
      </c>
      <c r="I26" s="24">
        <f>'Country equity risk premiums'!B199</f>
        <v>6.3499442653654425E-2</v>
      </c>
      <c r="J26" s="123">
        <f t="shared" si="2"/>
        <v>0.20712150040771948</v>
      </c>
      <c r="K26" s="165">
        <f t="shared" si="3"/>
        <v>1.3152099837478845E-2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634</v>
      </c>
      <c r="I28" s="24">
        <f>'Country equity risk premiums'!B201</f>
        <v>6.6746172674804469E-2</v>
      </c>
      <c r="J28" s="123">
        <f t="shared" si="2"/>
        <v>0.17232943734710518</v>
      </c>
      <c r="K28" s="165">
        <f t="shared" si="3"/>
        <v>1.150233038212178E-2</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2.7181299266104918E-2</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3679</v>
      </c>
      <c r="I32" s="125"/>
      <c r="J32" s="123">
        <f>SUM(J21:J31)</f>
        <v>1</v>
      </c>
      <c r="K32" s="166">
        <f>SUM(K21:K31)</f>
        <v>6.0507648640002867E-2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1648.1413231447341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1.3200346010367383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3955.509</v>
      </c>
      <c r="C48" s="122">
        <f>C41+C42+C43</f>
        <v>1648.1413231447341</v>
      </c>
      <c r="D48" s="122">
        <f>B36*B37</f>
        <v>0</v>
      </c>
      <c r="E48" s="121">
        <f>SUM(B48:D48)</f>
        <v>5603.6503231447341</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0.70588076912340114</v>
      </c>
      <c r="C49" s="123">
        <f>C48/$E$48</f>
        <v>0.29411923087659891</v>
      </c>
      <c r="D49" s="123">
        <f>D48/$E$48</f>
        <v>0</v>
      </c>
      <c r="E49" s="124">
        <f>SUM(B49:D49)</f>
        <v>1</v>
      </c>
      <c r="F49" s="8"/>
    </row>
    <row r="50" spans="1:11" ht="20" thickBot="1">
      <c r="A50" s="19" t="s">
        <v>203</v>
      </c>
      <c r="B50" s="125">
        <f>B12+C45*B15</f>
        <v>9.7872189832177325E-2</v>
      </c>
      <c r="C50" s="123">
        <f>B25*(1-B26)</f>
        <v>2.7739999999999997E-2</v>
      </c>
      <c r="D50" s="126">
        <f>B38/B37</f>
        <v>7.1428571428571425E-2</v>
      </c>
      <c r="E50" s="127">
        <f>B49*B50+C49*C50+D49*D50</f>
        <v>7.7244964099045701E-2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192</v>
      </c>
    </row>
    <row r="5" spans="1:11" s="15" customFormat="1" ht="14">
      <c r="A5" s="15" t="s">
        <v>114</v>
      </c>
    </row>
    <row r="6" spans="1:11" s="8" customFormat="1" ht="14">
      <c r="A6" s="30" t="s">
        <v>115</v>
      </c>
      <c r="B6" s="30" t="s">
        <v>116</v>
      </c>
      <c r="C6" s="8" t="s">
        <v>117</v>
      </c>
    </row>
    <row r="7" spans="1:11" s="8" customFormat="1" ht="14">
      <c r="A7" s="30">
        <v>1</v>
      </c>
      <c r="B7" s="327">
        <v>192</v>
      </c>
    </row>
    <row r="8" spans="1:11" s="8" customFormat="1" ht="14">
      <c r="A8" s="30">
        <v>2</v>
      </c>
      <c r="B8" s="327">
        <v>165</v>
      </c>
    </row>
    <row r="9" spans="1:11" s="8" customFormat="1" ht="14">
      <c r="A9" s="30">
        <v>3</v>
      </c>
      <c r="B9" s="327">
        <v>139</v>
      </c>
    </row>
    <row r="10" spans="1:11" s="8" customFormat="1" ht="14">
      <c r="A10" s="30">
        <v>4</v>
      </c>
      <c r="B10" s="327">
        <v>128</v>
      </c>
    </row>
    <row r="11" spans="1:11" s="8" customFormat="1" ht="14">
      <c r="A11" s="30">
        <v>5</v>
      </c>
      <c r="B11" s="327">
        <v>109</v>
      </c>
    </row>
    <row r="12" spans="1:11" s="8" customFormat="1" ht="14">
      <c r="A12" s="30" t="s">
        <v>118</v>
      </c>
      <c r="B12" s="326">
        <v>385</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192</v>
      </c>
      <c r="C22" s="9">
        <f>B22/(1+$C$15)^A22</f>
        <v>184.97109826589596</v>
      </c>
    </row>
    <row r="23" spans="1:7" s="8" customFormat="1" ht="14">
      <c r="A23" s="19">
        <f t="shared" ref="A23:B26" si="0">A8</f>
        <v>2</v>
      </c>
      <c r="B23" s="28">
        <f t="shared" si="0"/>
        <v>165</v>
      </c>
      <c r="C23" s="9">
        <f>B23/(1+$C$15)^A23</f>
        <v>153.14020960718142</v>
      </c>
    </row>
    <row r="24" spans="1:7" s="8" customFormat="1" ht="14">
      <c r="A24" s="19">
        <f t="shared" si="0"/>
        <v>3</v>
      </c>
      <c r="B24" s="28">
        <f t="shared" si="0"/>
        <v>139</v>
      </c>
      <c r="C24" s="9">
        <f>B24/(1+$C$15)^A24</f>
        <v>124.28615131312091</v>
      </c>
    </row>
    <row r="25" spans="1:7" s="8" customFormat="1" ht="14">
      <c r="A25" s="19">
        <f t="shared" si="0"/>
        <v>4</v>
      </c>
      <c r="B25" s="28">
        <f t="shared" si="0"/>
        <v>128</v>
      </c>
      <c r="C25" s="9">
        <f>B25/(1+$C$15)^A25</f>
        <v>110.26065183515252</v>
      </c>
    </row>
    <row r="26" spans="1:7" s="8" customFormat="1" ht="14">
      <c r="A26" s="19">
        <f t="shared" si="0"/>
        <v>5</v>
      </c>
      <c r="B26" s="28">
        <f t="shared" si="0"/>
        <v>109</v>
      </c>
      <c r="C26" s="9">
        <f>B26/(1+$C$15)^A26</f>
        <v>90.456489719048236</v>
      </c>
    </row>
    <row r="27" spans="1:7" s="8" customFormat="1" ht="15" thickBot="1">
      <c r="A27" s="36" t="str">
        <f>A12</f>
        <v>6 and beyond</v>
      </c>
      <c r="B27" s="37">
        <f>IF(B12&gt;0,IF(D18&gt;0,B12/D18,B12),0)</f>
        <v>96.25</v>
      </c>
      <c r="C27" s="38">
        <f>IF(D18&gt;0,(B27*(1-(1+C15)^(-D18))/C15)/(1+$C$15)^5,B27/(1+C15)^6)</f>
        <v>291.31179008716697</v>
      </c>
      <c r="D27" s="8" t="s">
        <v>126</v>
      </c>
    </row>
    <row r="28" spans="1:7" s="8" customFormat="1" ht="15" thickBot="1">
      <c r="A28" s="32" t="s">
        <v>127</v>
      </c>
      <c r="B28" s="39"/>
      <c r="C28" s="40">
        <f>SUM(C22:C27)</f>
        <v>954.42639082756602</v>
      </c>
    </row>
    <row r="29" spans="1:7" s="8" customFormat="1" ht="14"/>
    <row r="30" spans="1:7" s="8" customFormat="1" ht="14">
      <c r="A30" s="15" t="s">
        <v>128</v>
      </c>
    </row>
    <row r="31" spans="1:7" s="8" customFormat="1" ht="15" thickBot="1">
      <c r="A31" s="8" t="s">
        <v>129</v>
      </c>
      <c r="F31" s="38">
        <f>C28/(5+D18)</f>
        <v>106.04737675861844</v>
      </c>
      <c r="G31" s="8" t="s">
        <v>130</v>
      </c>
    </row>
    <row r="32" spans="1:7" s="8" customFormat="1" ht="15" thickBot="1">
      <c r="A32" s="8" t="s">
        <v>131</v>
      </c>
      <c r="F32" s="81">
        <f>E4-F31</f>
        <v>85.952623241381559</v>
      </c>
      <c r="G32" s="8" t="s">
        <v>133</v>
      </c>
    </row>
    <row r="33" spans="1:7" s="8" customFormat="1" ht="15" thickBot="1">
      <c r="A33" s="8" t="s">
        <v>132</v>
      </c>
      <c r="F33" s="41">
        <f>C28</f>
        <v>954.42639082756602</v>
      </c>
      <c r="G33" s="8" t="s">
        <v>134</v>
      </c>
    </row>
    <row r="34" spans="1:7" ht="14">
      <c r="A34" s="8" t="s">
        <v>489</v>
      </c>
      <c r="F34" s="241">
        <f>C28/(5+D18)</f>
        <v>106.04737675861844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592</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74</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8</v>
      </c>
      <c r="E9" s="8"/>
      <c r="F9" s="114"/>
      <c r="G9" s="8"/>
      <c r="H9" s="8"/>
      <c r="I9" s="8"/>
      <c r="J9" s="8"/>
    </row>
    <row r="10" spans="1:10" s="131" customFormat="1" ht="15" thickBot="1">
      <c r="A10" s="8" t="s">
        <v>216</v>
      </c>
      <c r="D10" s="141" t="str">
        <f>IF(C4=1,VLOOKUP(D9,A19:D33,3),(IF(C4=2,VLOOKUP(D9,A38:D52,3),VLOOKUP(D9,F19:I33,3))))</f>
        <v>Aa2/AA</v>
      </c>
      <c r="F10" s="16" t="s">
        <v>217</v>
      </c>
    </row>
    <row r="11" spans="1:10" s="131" customFormat="1" ht="15" thickBot="1">
      <c r="A11" s="8" t="s">
        <v>466</v>
      </c>
      <c r="D11" s="142">
        <f>IF(C4=1,VLOOKUP(D9,A19:D33,4),(IF(C4=2,VLOOKUP(D9,A38:D52,4),VLOOKUP(D9,F19:I33,4))))</f>
        <v>0.01</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2.7999999999999997E-2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2020-02-01T05:53:05Z</dcterms:modified>
</cp:coreProperties>
</file>