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valuationtemp/"/>
    </mc:Choice>
  </mc:AlternateContent>
  <xr:revisionPtr revIDLastSave="0" documentId="13_ncr:1_{5583F056-AF85-D641-9DB6-A396BF8A6334}"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11" l="1"/>
  <c r="J12" i="11"/>
  <c r="J11" i="11"/>
  <c r="J10" i="11"/>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9" i="12" l="1"/>
  <c r="B10" i="12"/>
  <c r="C15" i="14"/>
  <c r="B20" i="14"/>
  <c r="B21" i="14"/>
  <c r="B23" i="14"/>
  <c r="B24" i="14"/>
  <c r="C26" i="14"/>
  <c r="D27" i="14"/>
  <c r="D37" i="28"/>
  <c r="D39" i="28"/>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<sst xmlns="http://schemas.openxmlformats.org/spreadsheetml/2006/main" count="1390" uniqueCount="755">
  <si>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</si>
  <si>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</si>
  <si>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</si>
  <si>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</si>
  <si>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</si>
  <si>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</si>
  <si>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</si>
  <si>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</si>
  <si>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</si>
  <si>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</si>
  <si>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</si>
  <si>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</si>
  <si>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</si>
  <si>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</si>
  <si>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</si>
  <si>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</si>
  <si>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</si>
  <si>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</si>
  <si>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</si>
  <si>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</si>
  <si>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</si>
  <si>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</si>
  <si>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</si>
  <si>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</si>
  <si>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</si>
  <si>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</si>
  <si>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</si>
  <si>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</si>
  <si>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</si>
  <si>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</si>
  <si>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</si>
  <si>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</si>
  <si>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</si>
  <si>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</si>
  <si>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</si>
  <si>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</si>
  <si>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</si>
  <si>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</si>
  <si>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</si>
  <si>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</si>
  <si>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</si>
  <si>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</si>
  <si>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</si>
  <si>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</si>
  <si>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</si>
  <si>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</si>
  <si>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</si>
  <si>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</si>
  <si>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</si>
  <si>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</si>
  <si>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</si>
  <si>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</si>
  <si>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</si>
  <si>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</si>
  <si>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</si>
  <si>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</si>
  <si>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</si>
  <si>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</si>
  <si>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</si>
  <si>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</si>
  <si>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</si>
  <si>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</si>
  <si>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</si>
  <si>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</si>
  <si>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</si>
  <si>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</si>
  <si>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</si>
  <si>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</si>
  <si>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</si>
  <si>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</si>
  <si>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</si>
  <si>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</si>
  <si>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</si>
  <si>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</si>
  <si>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</si>
  <si>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</si>
  <si>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</si>
  <si>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</si>
  <si>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</si>
  <si>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</si>
  <si>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</si>
  <si>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</si>
  <si>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</si>
  <si>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</si>
  <si>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</si>
  <si>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</si>
  <si>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</si>
  <si>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</si>
  <si>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</si>
  <si>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</si>
  <si>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</si>
  <si>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</si>
  <si>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</si>
  <si>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</si>
  <si>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</si>
  <si>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</si>
  <si>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</si>
  <si>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</si>
  <si>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</si>
  <si>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</si>
  <si>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</si>
  <si>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</si>
  <si>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</si>
  <si>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</si>
  <si>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</si>
  <si>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</si>
  <si>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</si>
  <si>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</si>
  <si>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</si>
  <si>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</si>
  <si>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</si>
  <si>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</si>
  <si>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</si>
  <si>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</si>
  <si>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</si>
  <si>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</si>
  <si>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</si>
  <si>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</si>
  <si>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</si>
  <si>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</si>
  <si>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</si>
  <si>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</si>
  <si>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</si>
  <si>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</si>
  <si>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</si>
  <si>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</si>
  <si>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</si>
  <si>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</si>
  <si>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</si>
  <si>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</si>
  <si>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</si>
  <si>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</si>
  <si>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</si>
  <si>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</si>
  <si>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</si>
  <si>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</si>
  <si>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</si>
  <si>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</si>
  <si>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</si>
  <si>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</si>
  <si>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</si>
  <si>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</si>
  <si>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</si>
  <si>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</si>
  <si>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</si>
  <si>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</si>
  <si>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</si>
  <si>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</si>
  <si>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</si>
  <si>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</si>
  <si>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</si>
  <si>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</si>
  <si>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</si>
  <si>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</si>
  <si>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</si>
  <si>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</si>
  <si>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</si>
  <si>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</si>
  <si>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</si>
  <si>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</si>
  <si>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</si>
  <si>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</si>
  <si>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</si>
  <si>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</si>
  <si>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</si>
  <si>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</si>
  <si>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</si>
  <si>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</si>
  <si>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</si>
  <si>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</si>
  <si>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</si>
  <si>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</si>
  <si>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</si>
  <si>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</si>
  <si>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</si>
  <si>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</si>
  <si>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</si>
  <si>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</si>
  <si>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</si>
  <si>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</si>
  <si>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</si>
  <si>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</si>
  <si>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</si>
  <si>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</si>
  <si>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</si>
  <si>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</si>
  <si>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</si>
  <si>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</si>
  <si>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</si>
  <si>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</si>
  <si>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</si>
  <si>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</si>
  <si>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</si>
  <si>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</si>
  <si>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</si>
  <si>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</si>
  <si>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</si>
  <si>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</si>
  <si>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</si>
  <si>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</si>
  <si>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</si>
  <si>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</si>
  <si>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</si>
  <si>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</si>
  <si>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</si>
  <si>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</si>
  <si>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</si>
  <si>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</si>
  <si>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</si>
  <si>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</si>
  <si>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</si>
  <si>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</si>
  <si>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</si>
  <si>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</si>
  <si>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</si>
  <si>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</si>
  <si>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</si>
  <si>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</si>
  <si>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</si>
  <si>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</si>
  <si>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</si>
  <si>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</si>
  <si>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</si>
  <si>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</si>
  <si>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</si>
  <si>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</si>
  <si>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</si>
  <si>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</si>
  <si>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</si>
  <si>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</si>
  <si>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</si>
  <si>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</si>
  <si>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</si>
  <si>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</si>
  <si>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</si>
  <si>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</si>
  <si>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</si>
  <si>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</si>
  <si>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</si>
  <si>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</si>
  <si>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</si>
  <si>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</si>
  <si>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</si>
  <si>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</si>
  <si>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</si>
  <si>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</si>
  <si>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</si>
  <si>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</si>
  <si>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</si>
  <si>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</si>
  <si>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</si>
  <si>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</si>
  <si>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</si>
  <si>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</si>
  <si>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</si>
  <si>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</si>
  <si>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</si>
  <si>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</si>
  <si>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</si>
  <si>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</si>
  <si>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</si>
  <si>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</si>
  <si>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</si>
  <si>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</si>
  <si>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</si>
  <si>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</si>
  <si>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</si>
  <si>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</si>
  <si>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</si>
  <si>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</si>
  <si>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</si>
  <si>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</si>
  <si>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</si>
  <si>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</si>
  <si>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</si>
  <si>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</si>
  <si>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</si>
  <si>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</si>
  <si>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</si>
  <si>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</si>
  <si>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</si>
  <si>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</si>
  <si>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</si>
  <si>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</si>
  <si>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</si>
  <si>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</si>
  <si>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</si>
  <si>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</si>
  <si>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</si>
  <si>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</si>
  <si>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</si>
  <si>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</si>
  <si>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</si>
  <si>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</si>
  <si>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</si>
  <si>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</si>
  <si>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</si>
  <si>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</si>
  <si>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</si>
  <si>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</si>
  <si>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</si>
  <si>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</si>
  <si>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</si>
  <si>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</si>
  <si>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</si>
  <si>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</si>
  <si>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</si>
  <si>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</si>
  <si>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</si>
  <si>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</si>
  <si>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</si>
  <si>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</si>
  <si>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</si>
  <si>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</si>
  <si>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</si>
  <si>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</si>
  <si>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</si>
  <si>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</si>
  <si>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</si>
  <si>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</si>
  <si>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</si>
  <si>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</si>
  <si>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</si>
  <si>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</si>
  <si>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</si>
  <si>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</si>
  <si>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</si>
  <si>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</si>
  <si>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</si>
  <si>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</si>
  <si>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</si>
  <si>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</si>
  <si>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</si>
  <si>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</si>
  <si>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</si>
  <si>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</si>
  <si>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</si>
  <si>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</si>
  <si>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</si>
  <si>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</si>
  <si>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</si>
  <si>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</si>
  <si>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</si>
  <si>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</si>
  <si>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</si>
  <si>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</si>
  <si>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</si>
  <si>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</si>
  <si>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</si>
  <si>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</si>
  <si>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</si>
  <si>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</si>
  <si>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</si>
  <si>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</si>
  <si>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</si>
  <si>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</si>
  <si>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</si>
  <si>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</si>
  <si>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</si>
  <si>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</si>
  <si>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</si>
  <si>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</si>
  <si>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</si>
  <si>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</si>
  <si>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</si>
  <si>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</si>
  <si>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</si>
  <si>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</si>
  <si>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</si>
  <si>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</si>
  <si>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</si>
  <si>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</si>
  <si>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</si>
  <si>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</si>
  <si>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</si>
  <si>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</si>
  <si>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</si>
  <si>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</si>
  <si>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</si>
  <si>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</si>
  <si>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</si>
  <si>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</si>
  <si>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</si>
  <si>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</si>
  <si>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</si>
  <si>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</si>
  <si>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</si>
  <si>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</si>
  <si>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</si>
  <si>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</si>
  <si>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</si>
  <si>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</si>
  <si>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</si>
  <si>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</si>
  <si>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</si>
  <si>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</si>
  <si>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</si>
  <si>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</si>
  <si>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</si>
  <si>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</si>
  <si>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</si>
  <si>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</si>
  <si>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</si>
  <si>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</si>
  <si>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</si>
  <si>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</si>
  <si>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</si>
  <si>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</si>
  <si>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</si>
  <si>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</si>
  <si>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</si>
  <si>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</si>
  <si>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</si>
  <si>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</si>
  <si>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</si>
  <si>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</si>
  <si>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</si>
  <si>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</si>
  <si>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</si>
  <si>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</si>
  <si>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</si>
  <si>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</si>
  <si>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</si>
  <si>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</si>
  <si>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</si>
  <si>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</si>
  <si>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</si>
  <si>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</si>
  <si>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</si>
  <si>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</si>
  <si>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</si>
  <si>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</si>
  <si>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</si>
  <si>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</si>
  <si>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</si>
  <si>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</si>
  <si>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</si>
  <si>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</si>
  <si>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</si>
  <si>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</si>
  <si>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</si>
  <si>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</si>
  <si>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</si>
  <si>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</si>
  <si>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</si>
  <si>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</si>
  <si>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</si>
  <si>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</si>
  <si>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</si>
  <si>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</si>
  <si>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</si>
  <si>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</si>
  <si>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</si>
  <si>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</si>
  <si>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</si>
  <si>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</si>
  <si>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</si>
  <si>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</si>
  <si>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</si>
  <si>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</si>
  <si>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</si>
  <si>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</si>
  <si>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</si>
  <si>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</si>
  <si>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</si>
  <si>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</si>
  <si>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</si>
  <si>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</si>
  <si>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</si>
  <si>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</si>
  <si>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</si>
  <si>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</si>
  <si>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</si>
  <si>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</si>
  <si>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</si>
  <si>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</si>
  <si>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</si>
  <si>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</si>
  <si>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</si>
  <si>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</si>
  <si>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</si>
  <si>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</si>
  <si>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</si>
  <si>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</si>
  <si>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</si>
  <si>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</si>
  <si>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</si>
  <si>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</si>
  <si>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</si>
  <si>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</si>
  <si>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</si>
  <si>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</si>
  <si>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</si>
  <si>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</si>
  <si>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</si>
  <si>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</si>
  <si>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</si>
  <si>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</si>
  <si>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</si>
  <si>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</si>
  <si>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</si>
  <si>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</si>
  <si>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</si>
  <si>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</si>
  <si>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</si>
  <si>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</si>
  <si>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</si>
  <si>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</si>
  <si>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</si>
  <si>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</si>
  <si>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</si>
  <si>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</si>
  <si>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</si>
  <si>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</si>
  <si>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</si>
  <si>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</si>
  <si>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</si>
  <si>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</si>
  <si>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</si>
  <si>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</si>
  <si>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</si>
  <si>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</si>
  <si>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</si>
  <si>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</si>
  <si>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</si>
  <si>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</si>
  <si>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</si>
  <si>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</si>
  <si>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</si>
  <si>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</si>
  <si>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</si>
  <si>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</si>
  <si>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</si>
  <si>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</si>
  <si>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</si>
  <si>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</si>
  <si>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</si>
  <si>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</si>
  <si>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</si>
  <si>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</si>
  <si>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</si>
  <si>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</si>
  <si>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</si>
  <si>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</si>
  <si>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</si>
  <si>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</si>
  <si>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</si>
  <si>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</si>
  <si>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</si>
  <si>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</si>
  <si>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</si>
  <si>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</si>
  <si>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</si>
  <si>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</si>
  <si>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</si>
  <si>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</si>
  <si>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</si>
  <si>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</si>
  <si>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</si>
  <si>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</si>
  <si>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</si>
  <si>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</si>
  <si>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</si>
  <si>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</si>
  <si>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</si>
  <si>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</si>
  <si>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</si>
  <si>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</si>
  <si>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</si>
  <si>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</si>
  <si>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</si>
  <si>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</si>
  <si>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</si>
  <si>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</si>
  <si>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</si>
  <si>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</si>
  <si>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</si>
  <si>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</si>
  <si>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</si>
  <si>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</si>
  <si>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</si>
  <si>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</si>
  <si>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</si>
  <si>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</si>
  <si>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</si>
  <si>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</si>
  <si>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</si>
  <si>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</si>
  <si>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</si>
  <si>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</si>
  <si>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</si>
  <si>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</si>
  <si>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</si>
  <si>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</si>
  <si>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</si>
  <si>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</si>
  <si>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</si>
  <si>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</si>
  <si>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</si>
  <si>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</si>
  <si>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</si>
  <si>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</si>
  <si>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</si>
  <si>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</si>
  <si>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</si>
  <si>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</si>
  <si>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</si>
  <si>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</si>
  <si>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</si>
  <si>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</si>
  <si>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</si>
  <si>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</si>
  <si>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</si>
  <si>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</si>
  <si>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</si>
  <si>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</si>
  <si>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</si>
  <si>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</si>
  <si>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</si>
  <si>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</si>
  <si>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</si>
  <si>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</si>
  <si>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</si>
  <si>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</si>
  <si>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</si>
  <si>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</si>
  <si>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</si>
  <si>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</si>
  <si>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</si>
  <si>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</si>
  <si>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</si>
  <si>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</si>
  <si>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</si>
  <si>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</si>
  <si>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</si>
  <si>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</si>
  <si>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</si>
  <si>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</si>
  <si>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</si>
  <si>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</si>
  <si>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</si>
  <si>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</si>
  <si>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</si>
  <si>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</si>
  <si>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</si>
  <si>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</si>
  <si>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</si>
  <si>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</si>
  <si>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</si>
  <si>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</si>
  <si>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</si>
  <si>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</si>
  <si>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</si>
  <si>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</si>
  <si>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</si>
  <si>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</si>
  <si>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</si>
  <si>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</si>
  <si>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</si>
  <si>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</si>
  <si>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</si>
  <si>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</si>
  <si>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</si>
  <si>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</si>
  <si>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</si>
  <si>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</si>
  <si>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</si>
  <si>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</si>
  <si>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</si>
  <si>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</si>
  <si>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</si>
  <si>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</si>
  <si>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</si>
  <si>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</si>
  <si>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</si>
  <si>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</si>
  <si>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</si>
  <si>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</si>
  <si>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</si>
  <si>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</si>
  <si>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</si>
  <si>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</si>
  <si>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</si>
  <si>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</si>
  <si>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</si>
  <si>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</si>
  <si>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</si>
  <si>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</si>
  <si>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</si>
  <si>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</si>
  <si>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</si>
  <si>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</si>
  <si>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</si>
  <si>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</si>
  <si>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</si>
  <si>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</si>
  <si>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</si>
  <si>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</si>
  <si>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</si>
  <si>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</si>
  <si>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</si>
  <si>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</si>
  <si>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</si>
  <si>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</si>
  <si>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</si>
  <si>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</si>
  <si>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</si>
  <si>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</si>
  <si>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</si>
  <si>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</si>
  <si>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</si>
  <si>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</si>
  <si>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</si>
  <si>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</si>
  <si>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</si>
  <si>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</si>
  <si>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</si>
  <si>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</si>
  <si>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</si>
  <si>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</si>
  <si>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</si>
  <si>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</si>
  <si>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</si>
  <si>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</si>
  <si>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</si>
  <si>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</si>
  <si>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</si>
  <si>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</si>
  <si>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</si>
  <si>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</si>
  <si>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</si>
  <si>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</si>
  <si>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</si>
  <si>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</si>
  <si>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</si>
  <si>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</si>
  <si>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</si>
  <si>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</si>
  <si>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</si>
  <si>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</si>
  <si>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</si>
  <si>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</si>
  <si>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</si>
  <si>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</si>
  <si>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</si>
  <si>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</si>
  <si>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</si>
  <si>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</si>
  <si>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</si>
  <si>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</si>
  <si>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</si>
  <si>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Discovery</t>
  </si>
  <si>
    <t>A</t>
  </si>
  <si>
    <t>shares outs</t>
  </si>
  <si>
    <t>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</si>
</sst>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24" sqref="C2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514</v>
      </c>
      <c r="C6" s="82"/>
      <c r="D6" s="82"/>
      <c r="E6" s="82"/>
      <c r="F6" s="82"/>
      <c r="G6" s="82"/>
      <c r="H6" s="82"/>
      <c r="I6" s="82"/>
    </row>
    <row r="7" spans="1:10" s="56" customFormat="1" ht="13">
      <c r="A7" s="156" t="s">
        <v>430</v>
      </c>
      <c r="B7" s="157" t="s">
        <v>514</v>
      </c>
      <c r="C7" s="246" t="s">
        <v>389</v>
      </c>
      <c r="D7" s="246" t="s">
        <v>612</v>
      </c>
      <c r="E7" s="82"/>
      <c r="F7" s="82"/>
      <c r="G7" s="82"/>
      <c r="H7" s="82"/>
      <c r="I7" s="82"/>
    </row>
    <row r="8" spans="1:10" s="56" customFormat="1" ht="13">
      <c r="A8" s="60" t="s">
        <v>11</v>
      </c>
      <c r="B8" s="61">
        <v>11079</v>
      </c>
      <c r="C8" s="85">
        <v>10553</v>
      </c>
      <c r="D8" s="245">
        <v>0.75</v>
      </c>
    </row>
    <row r="9" spans="1:10" s="56" customFormat="1" ht="13">
      <c r="A9" s="60" t="s">
        <v>29</v>
      </c>
      <c r="B9" s="61">
        <v>3287</v>
      </c>
      <c r="C9" s="85">
        <v>2735</v>
      </c>
      <c r="D9" s="245">
        <v>0.75</v>
      </c>
      <c r="H9" s="56" t="s">
        <v>753</v>
      </c>
      <c r="I9" s="56" t="s">
        <v>754</v>
      </c>
    </row>
    <row r="10" spans="1:10" s="56" customFormat="1" ht="13">
      <c r="A10" s="60" t="s">
        <v>432</v>
      </c>
      <c r="B10" s="85">
        <v>678</v>
      </c>
      <c r="C10" s="85">
        <v>729</v>
      </c>
      <c r="D10" s="62"/>
      <c r="G10" s="56" t="s">
        <v>752</v>
      </c>
      <c r="H10" s="56">
        <v>158.1</v>
      </c>
      <c r="I10" s="56">
        <v>29.26</v>
      </c>
      <c r="J10" s="56">
        <f>H10/(H10+H11+H12)*I10</f>
        <v>8.8064077669902918</v>
      </c>
    </row>
    <row r="11" spans="1:10" s="56" customFormat="1" ht="13">
      <c r="A11" s="60" t="s">
        <v>30</v>
      </c>
      <c r="B11" s="61">
        <v>11579</v>
      </c>
      <c r="C11" s="85">
        <v>10517</v>
      </c>
      <c r="D11" s="62"/>
      <c r="G11" s="56" t="s">
        <v>101</v>
      </c>
      <c r="H11" s="56">
        <v>6.5</v>
      </c>
      <c r="I11" s="56">
        <v>36.29</v>
      </c>
      <c r="J11" s="56">
        <f>H11/(H11+H12+H10)*I11</f>
        <v>0.44904816295450223</v>
      </c>
    </row>
    <row r="12" spans="1:10" s="56" customFormat="1" ht="13">
      <c r="A12" s="60" t="s">
        <v>31</v>
      </c>
      <c r="B12" s="85">
        <v>14757</v>
      </c>
      <c r="C12" s="85">
        <v>14975</v>
      </c>
      <c r="D12" s="62"/>
      <c r="G12" s="56" t="s">
        <v>739</v>
      </c>
      <c r="H12" s="56">
        <v>360.7</v>
      </c>
      <c r="I12" s="56">
        <v>27.77</v>
      </c>
      <c r="J12" s="56">
        <f>H12/(H12+H10+H11)*I12</f>
        <v>19.068416143156291</v>
      </c>
    </row>
    <row r="13" spans="1:10" s="56" customFormat="1" ht="13">
      <c r="A13" s="160" t="s">
        <v>420</v>
      </c>
      <c r="B13" s="198" t="s">
        <v>53</v>
      </c>
      <c r="C13" s="199"/>
      <c r="D13" s="62"/>
      <c r="J13" s="56">
        <f>SUM(J10:J12)</f>
        <v>28.323872073101086</v>
      </c>
    </row>
    <row r="14" spans="1:10" s="56" customFormat="1" ht="13">
      <c r="A14" s="60" t="s">
        <v>239</v>
      </c>
      <c r="B14" s="85" t="s">
        <v>56</v>
      </c>
      <c r="C14" s="62"/>
      <c r="D14" s="62"/>
    </row>
    <row r="15" spans="1:10" s="56" customFormat="1" ht="13">
      <c r="A15" s="60" t="s">
        <v>598</v>
      </c>
      <c r="B15" s="85">
        <v>813</v>
      </c>
      <c r="C15" s="85">
        <v>986</v>
      </c>
      <c r="D15" s="62"/>
    </row>
    <row r="16" spans="1:10" s="56" customFormat="1" ht="13">
      <c r="A16" s="60" t="s">
        <v>599</v>
      </c>
      <c r="B16" s="173">
        <v>0</v>
      </c>
      <c r="C16" s="85">
        <v>0</v>
      </c>
      <c r="D16" s="62"/>
    </row>
    <row r="17" spans="1:11" s="56" customFormat="1" ht="13">
      <c r="A17" s="60" t="s">
        <v>385</v>
      </c>
      <c r="B17" s="173">
        <v>2061</v>
      </c>
      <c r="C17" s="85">
        <v>2131</v>
      </c>
      <c r="D17" s="62"/>
    </row>
    <row r="18" spans="1:11" s="56" customFormat="1" ht="13">
      <c r="A18" s="60" t="s">
        <v>750</v>
      </c>
      <c r="B18" s="173">
        <v>0</v>
      </c>
      <c r="C18" s="358"/>
      <c r="D18" s="62"/>
    </row>
    <row r="19" spans="1:11" s="56" customFormat="1" ht="14" thickBot="1">
      <c r="A19" s="60" t="s">
        <v>32</v>
      </c>
      <c r="B19" s="158">
        <v>523.9</v>
      </c>
      <c r="C19" s="62"/>
    </row>
    <row r="20" spans="1:11" s="56" customFormat="1" ht="13">
      <c r="A20" s="60" t="s">
        <v>33</v>
      </c>
      <c r="B20" s="61">
        <v>28.32</v>
      </c>
      <c r="C20" s="62"/>
      <c r="E20" s="86" t="s">
        <v>238</v>
      </c>
      <c r="F20" s="54"/>
      <c r="G20" s="54"/>
      <c r="H20" s="54"/>
      <c r="I20" s="54"/>
      <c r="J20" s="54"/>
      <c r="K20" s="55"/>
    </row>
    <row r="21" spans="1:11" s="56" customFormat="1" ht="13">
      <c r="A21" s="63" t="s">
        <v>103</v>
      </c>
      <c r="B21" s="64">
        <v>0.1</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6.7004290216267526E-2</v>
      </c>
      <c r="J23" s="259">
        <f>VLOOKUP(B6,'Industry Average Beta (US)'!A2:S95,3)</f>
        <v>8.3272105263157883E-2</v>
      </c>
      <c r="K23" s="260">
        <f>VLOOKUP(B7,'Industry Average Beta (Global)'!A2:N95,3)</f>
        <v>4.7349444444444479E-2</v>
      </c>
    </row>
    <row r="24" spans="1:11" s="56" customFormat="1" ht="13">
      <c r="A24" s="60" t="s">
        <v>49</v>
      </c>
      <c r="B24" s="67">
        <v>0.05</v>
      </c>
      <c r="C24" s="62"/>
      <c r="E24" s="87" t="s">
        <v>170</v>
      </c>
      <c r="F24" s="82"/>
      <c r="G24" s="82"/>
      <c r="H24" s="82"/>
      <c r="I24" s="259">
        <f>'Valuation output'!B4</f>
        <v>0.30233094765305057</v>
      </c>
      <c r="J24" s="260">
        <f>VLOOKUP(B6,'Industry Average Beta (US)'!A2:S95,4)</f>
        <v>0.20424187259804424</v>
      </c>
      <c r="K24" s="260">
        <f>VLOOKUP(B7,'Industry Average Beta (Global)'!A2:N95,4)</f>
        <v>0.16033929037970859</v>
      </c>
    </row>
    <row r="25" spans="1:11" s="56" customFormat="1" ht="13">
      <c r="A25" s="60" t="s">
        <v>51</v>
      </c>
      <c r="B25" s="67">
        <v>0.3</v>
      </c>
      <c r="C25" s="62"/>
      <c r="E25" s="87" t="s">
        <v>171</v>
      </c>
      <c r="F25" s="82"/>
      <c r="G25" s="82"/>
      <c r="H25" s="82"/>
      <c r="I25" s="261">
        <f>B8/'Valuation output'!B39</f>
        <v>0.41830862365792099</v>
      </c>
      <c r="J25" s="261">
        <f>VLOOKUP(B6,'Industry Average Beta (US)'!A2:S95,14)</f>
        <v>1.2255192302727373</v>
      </c>
      <c r="K25" s="261">
        <f>VLOOKUP(B7,'Industry Average Beta (Global)'!A2:N95,14)</f>
        <v>1.2209487273833555</v>
      </c>
    </row>
    <row r="26" spans="1:11" s="56" customFormat="1" ht="13">
      <c r="A26" s="60" t="s">
        <v>673</v>
      </c>
      <c r="B26" s="68">
        <v>5</v>
      </c>
      <c r="C26" s="62"/>
      <c r="E26" s="87" t="s">
        <v>172</v>
      </c>
      <c r="F26" s="82"/>
      <c r="G26" s="82"/>
      <c r="H26" s="82"/>
      <c r="I26" s="260">
        <f>'Valuation output'!B7/'Valuation output'!B39</f>
        <v>0.11382087834174828</v>
      </c>
      <c r="J26" s="260">
        <f>VLOOKUP(B6,'Industry Average Beta (US)'!A2:S95,5)</f>
        <v>0.24896896242510397</v>
      </c>
      <c r="K26" s="260">
        <f>VLOOKUP(B7,'Industry Average Beta (Global)'!A2:N95,5)</f>
        <v>0.16798423836214668</v>
      </c>
    </row>
    <row r="27" spans="1:11" s="56" customFormat="1" ht="13">
      <c r="A27" s="60" t="s">
        <v>37</v>
      </c>
      <c r="B27" s="68">
        <f>I25</f>
        <v>0.41830862365792099</v>
      </c>
      <c r="C27" s="62"/>
      <c r="E27" s="87" t="s">
        <v>378</v>
      </c>
      <c r="F27" s="82"/>
      <c r="G27" s="82"/>
      <c r="H27" s="82"/>
      <c r="I27" s="168"/>
      <c r="J27" s="262">
        <f>VLOOKUP(B6,'Industry Average Beta (US)'!A2:S95,10)</f>
        <v>0.37288378179252196</v>
      </c>
      <c r="K27" s="260">
        <f>VLOOKUP(B6,'Industry Average Beta (Global)'!A2:Z95,10)</f>
        <v>0.35757920155304035</v>
      </c>
    </row>
    <row r="28" spans="1:11" s="56" customFormat="1" ht="14" thickBot="1">
      <c r="A28" s="65" t="s">
        <v>36</v>
      </c>
      <c r="B28" s="69"/>
      <c r="C28" s="62"/>
      <c r="E28" s="58" t="s">
        <v>377</v>
      </c>
      <c r="F28" s="59"/>
      <c r="G28" s="59"/>
      <c r="H28" s="59"/>
      <c r="I28" s="59"/>
      <c r="J28" s="263">
        <f>VLOOKUP(B6,'Industry Average Beta (US)'!A2:S95,13)</f>
        <v>5.4354186503505791E-2</v>
      </c>
      <c r="K28" s="260">
        <f>VLOOKUP(B6,'Industry Average Beta (Global)'!A2:Z95,13)</f>
        <v>7.0515150227530646E-2</v>
      </c>
    </row>
    <row r="29" spans="1:11" s="56" customFormat="1" ht="14" thickBot="1">
      <c r="A29" s="60" t="s">
        <v>27</v>
      </c>
      <c r="B29" s="67">
        <v>1.7999999999999999E-2</v>
      </c>
      <c r="C29" s="62"/>
    </row>
    <row r="30" spans="1:11" s="56" customFormat="1" ht="13">
      <c r="A30" s="60" t="s">
        <v>39</v>
      </c>
      <c r="B30" s="159">
        <f>'Cost of capital worksheet'!E50</f>
        <v>3.6822428011444919E-2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16748.779764628562</v>
      </c>
    </row>
    <row r="32" spans="1:11" s="56" customFormat="1" ht="13">
      <c r="A32" s="63" t="s">
        <v>241</v>
      </c>
      <c r="B32" s="159" t="s">
        <v>56</v>
      </c>
      <c r="C32"/>
      <c r="D32" s="62"/>
      <c r="E32" s="247" t="s">
        <v>603</v>
      </c>
      <c r="F32" s="63"/>
      <c r="G32" s="63"/>
      <c r="H32" s="63"/>
      <c r="I32" s="63"/>
      <c r="J32" s="258">
        <f>'Valuation output'!M5</f>
        <v>5024.6339293885685</v>
      </c>
    </row>
    <row r="33" spans="1:14" s="56" customFormat="1" ht="13">
      <c r="A33" s="63" t="s">
        <v>89</v>
      </c>
      <c r="B33" s="68">
        <v>21</v>
      </c>
      <c r="C33" s="257"/>
      <c r="D33" s="62"/>
      <c r="E33" s="247" t="s">
        <v>602</v>
      </c>
      <c r="F33" s="63"/>
      <c r="G33" s="63"/>
      <c r="H33" s="63"/>
      <c r="I33" s="63"/>
      <c r="J33" s="259">
        <f>'Valuation output'!L40</f>
        <v>9.1609588581084714E-2</v>
      </c>
    </row>
    <row r="34" spans="1:14" s="56" customFormat="1" ht="14" thickBot="1">
      <c r="A34" s="63" t="s">
        <v>90</v>
      </c>
      <c r="B34" s="71">
        <v>7.9</v>
      </c>
      <c r="C34" s="256"/>
      <c r="D34" s="62"/>
      <c r="E34" s="248" t="s">
        <v>604</v>
      </c>
      <c r="F34" s="59"/>
      <c r="G34" s="59"/>
      <c r="H34" s="59"/>
      <c r="I34" s="59"/>
      <c r="J34" s="249"/>
    </row>
    <row r="35" spans="1:14" s="56" customFormat="1" ht="13">
      <c r="A35" s="63" t="s">
        <v>91</v>
      </c>
      <c r="B35" s="68">
        <v>5.5</v>
      </c>
      <c r="C35" s="257"/>
      <c r="D35" s="62"/>
    </row>
    <row r="36" spans="1:14" s="56" customFormat="1" ht="13">
      <c r="A36" s="63" t="s">
        <v>92</v>
      </c>
      <c r="B36" s="67">
        <v>0.3</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5" zoomScale="125" zoomScaleNormal="125" workbookViewId="0">
      <selection activeCell="D22" sqref="D22"/>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4.36E-2</v>
      </c>
      <c r="I2" s="90">
        <f>G2-((G2-$M$2)/5)*2</f>
        <v>3.7200000000000004E-2</v>
      </c>
      <c r="J2" s="90">
        <f>G2-((G2-$M$2)/5)*3</f>
        <v>3.0800000000000001E-2</v>
      </c>
      <c r="K2" s="90">
        <f>G2-((G2-$M$2)/5)*4</f>
        <v>2.4400000000000002E-2</v>
      </c>
      <c r="L2" s="90">
        <f>G2-((G2-$M$2)/5)*5</f>
        <v>1.8000000000000002E-2</v>
      </c>
      <c r="M2" s="91">
        <f>IF('Input sheet'!B56="Yes",'Input sheet'!B57,'Input sheet'!B29)</f>
        <v>1.7999999999999999E-2</v>
      </c>
    </row>
    <row r="3" spans="1:14" ht="15" customHeight="1">
      <c r="A3" s="45" t="s">
        <v>11</v>
      </c>
      <c r="B3" s="92">
        <f>'Input sheet'!B8</f>
        <v>11079</v>
      </c>
      <c r="C3" s="93">
        <f>B3*(1+C2)</f>
        <v>11632.95</v>
      </c>
      <c r="D3" s="93">
        <f t="shared" ref="D3:L3" si="0">C3*(1+D2)</f>
        <v>12214.597500000002</v>
      </c>
      <c r="E3" s="93">
        <f t="shared" si="0"/>
        <v>12825.327375000003</v>
      </c>
      <c r="F3" s="93">
        <f t="shared" si="0"/>
        <v>13466.593743750003</v>
      </c>
      <c r="G3" s="93">
        <f t="shared" si="0"/>
        <v>14139.923430937504</v>
      </c>
      <c r="H3" s="93">
        <f t="shared" si="0"/>
        <v>14756.42409252638</v>
      </c>
      <c r="I3" s="93">
        <f t="shared" si="0"/>
        <v>15305.36306876836</v>
      </c>
      <c r="J3" s="93">
        <f t="shared" si="0"/>
        <v>15776.768251286425</v>
      </c>
      <c r="K3" s="93">
        <f t="shared" si="0"/>
        <v>16161.721396617813</v>
      </c>
      <c r="L3" s="93">
        <f t="shared" si="0"/>
        <v>16452.632381756936</v>
      </c>
      <c r="M3" s="109">
        <f>L3*(1+M2)</f>
        <v>16748.779764628562</v>
      </c>
    </row>
    <row r="4" spans="1:14" ht="15" customHeight="1">
      <c r="A4" s="45" t="s">
        <v>26</v>
      </c>
      <c r="B4" s="94">
        <f>B5/B3</f>
        <v>0.30233094765305057</v>
      </c>
      <c r="C4" s="90">
        <f>IF(C1&gt;'Input sheet'!$B$26,'Input sheet'!$B$25,'Input sheet'!$B$25-(('Input sheet'!$B$25-$B$4)/'Input sheet'!$B$26)*('Input sheet'!$B$26-C1))</f>
        <v>0.30186475812244046</v>
      </c>
      <c r="D4" s="90">
        <f>IF(D1&gt;'Input sheet'!$B$26,'Input sheet'!$B$25,'Input sheet'!$B$25-(('Input sheet'!$B$25-$B$4)/'Input sheet'!$B$26)*('Input sheet'!$B$26-D1))</f>
        <v>0.30139856859183034</v>
      </c>
      <c r="E4" s="90">
        <f>IF(E1&gt;'Input sheet'!$B$26,'Input sheet'!$B$25,'Input sheet'!$B$25-(('Input sheet'!$B$25-$B$4)/'Input sheet'!$B$26)*('Input sheet'!$B$26-E1))</f>
        <v>0.30093237906122022</v>
      </c>
      <c r="F4" s="90">
        <f>IF(F1&gt;'Input sheet'!$B$26,'Input sheet'!$B$25,'Input sheet'!$B$25-(('Input sheet'!$B$25-$B$4)/'Input sheet'!$B$26)*('Input sheet'!$B$26-F1))</f>
        <v>0.30046618953061011</v>
      </c>
      <c r="G4" s="90">
        <f>IF(G1&gt;'Input sheet'!$B$26,'Input sheet'!$B$25,'Input sheet'!$B$25-(('Input sheet'!$B$25-$B$4)/'Input sheet'!$B$26)*('Input sheet'!$B$26-G1))</f>
        <v>0.3</v>
      </c>
      <c r="H4" s="90">
        <f>IF(H1&gt;'Input sheet'!$B$26,'Input sheet'!$B$25,'Input sheet'!$B$25-(('Input sheet'!$B$25-$B$4)/'Input sheet'!$B$26)*('Input sheet'!$B$26-H1))</f>
        <v>0.3</v>
      </c>
      <c r="I4" s="90">
        <f>IF(I1&gt;'Input sheet'!$B$26,'Input sheet'!$B$25,'Input sheet'!$B$25-(('Input sheet'!$B$25-$B$4)/'Input sheet'!$B$26)*('Input sheet'!$B$26-I1))</f>
        <v>0.3</v>
      </c>
      <c r="J4" s="90">
        <f>IF(J1&gt;'Input sheet'!$B$26,'Input sheet'!$B$25,'Input sheet'!$B$25-(('Input sheet'!$B$25-$B$4)/'Input sheet'!$B$26)*('Input sheet'!$B$26-J1))</f>
        <v>0.3</v>
      </c>
      <c r="K4" s="90">
        <f>IF(K1&gt;'Input sheet'!$B$26,'Input sheet'!$B$25,'Input sheet'!$B$25-(('Input sheet'!$B$25-$B$4)/'Input sheet'!$B$26)*('Input sheet'!$B$26-K1))</f>
        <v>0.3</v>
      </c>
      <c r="L4" s="90">
        <f>IF(L1&gt;'Input sheet'!$B$26,'Input sheet'!$B$25,'Input sheet'!$B$25-(('Input sheet'!$B$25-$B$4)/'Input sheet'!$B$26)*('Input sheet'!$B$26-L1))</f>
        <v>0.3</v>
      </c>
      <c r="M4" s="91">
        <f>L4</f>
        <v>0.3</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3349.5245690481474</v>
      </c>
      <c r="C5" s="93">
        <f t="shared" ref="C5:M5" si="1">C4*C3</f>
        <v>3511.577638000444</v>
      </c>
      <c r="D5" s="93">
        <f t="shared" si="1"/>
        <v>3681.4622024253499</v>
      </c>
      <c r="E5" s="93">
        <f t="shared" si="1"/>
        <v>3859.5562791977454</v>
      </c>
      <c r="F5" s="93">
        <f t="shared" si="1"/>
        <v>4046.2561081413169</v>
      </c>
      <c r="G5" s="93">
        <f t="shared" si="1"/>
        <v>4241.9770292812509</v>
      </c>
      <c r="H5" s="93">
        <f t="shared" si="1"/>
        <v>4426.9272277579139</v>
      </c>
      <c r="I5" s="93">
        <f t="shared" si="1"/>
        <v>4591.6089206305078</v>
      </c>
      <c r="J5" s="93">
        <f t="shared" si="1"/>
        <v>4733.0304753859273</v>
      </c>
      <c r="K5" s="93">
        <f t="shared" si="1"/>
        <v>4848.516418985344</v>
      </c>
      <c r="L5" s="93">
        <f t="shared" si="1"/>
        <v>4935.7897145270808</v>
      </c>
      <c r="M5" s="109">
        <f t="shared" si="1"/>
        <v>5024.6339293885685</v>
      </c>
      <c r="N5" s="111">
        <f>M5-B5</f>
        <v>1675.1093603404211</v>
      </c>
    </row>
    <row r="6" spans="1:14" ht="15" customHeight="1">
      <c r="A6" s="45" t="s">
        <v>137</v>
      </c>
      <c r="B6" s="95">
        <f>'Input sheet'!B21</f>
        <v>0.1</v>
      </c>
      <c r="C6" s="96">
        <f>B6</f>
        <v>0.1</v>
      </c>
      <c r="D6" s="96">
        <f>C6</f>
        <v>0.1</v>
      </c>
      <c r="E6" s="96">
        <f>D6</f>
        <v>0.1</v>
      </c>
      <c r="F6" s="96">
        <f>E6</f>
        <v>0.1</v>
      </c>
      <c r="G6" s="96">
        <f>F6</f>
        <v>0.1</v>
      </c>
      <c r="H6" s="96">
        <f>G6+($M$6-$G$6)/5</f>
        <v>0.13400000000000001</v>
      </c>
      <c r="I6" s="96">
        <f>H6+($M$6-$G$6)/5</f>
        <v>0.16800000000000001</v>
      </c>
      <c r="J6" s="96">
        <f>I6+($M$6-$G$6)/5</f>
        <v>0.20200000000000001</v>
      </c>
      <c r="K6" s="96">
        <f>J6+($M$6-$G$6)/5</f>
        <v>0.23600000000000002</v>
      </c>
      <c r="L6" s="96">
        <f>K6+($M$6-$G$6)/5</f>
        <v>0.27</v>
      </c>
      <c r="M6" s="96">
        <f>IF('Input sheet'!B51="Yes",'Input sheet'!B21,'Input sheet'!B22)</f>
        <v>0.27</v>
      </c>
    </row>
    <row r="7" spans="1:14" ht="15" customHeight="1">
      <c r="A7" s="45" t="s">
        <v>12</v>
      </c>
      <c r="B7" s="92">
        <f>IF(B5&gt;0,B5*(1-B6),B5)</f>
        <v>3014.5721121433326</v>
      </c>
      <c r="C7" s="93">
        <f>IF(C5&gt;0,IF(C5&lt;B10,C5,C5-(C5-B10)*C6),C5)</f>
        <v>3160.4198742003996</v>
      </c>
      <c r="D7" s="93">
        <f t="shared" ref="D7:L7" si="2">IF(D5&gt;0,IF(D5&lt;C10,D5,D5-(D5-C10)*D6),D5)</f>
        <v>3313.3159821828149</v>
      </c>
      <c r="E7" s="93">
        <f t="shared" si="2"/>
        <v>3473.6006512779709</v>
      </c>
      <c r="F7" s="93">
        <f t="shared" si="2"/>
        <v>3641.6304973271854</v>
      </c>
      <c r="G7" s="93">
        <f t="shared" si="2"/>
        <v>3817.7793263531257</v>
      </c>
      <c r="H7" s="93">
        <f t="shared" si="2"/>
        <v>3833.7189792383533</v>
      </c>
      <c r="I7" s="93">
        <f t="shared" si="2"/>
        <v>3820.2186219645823</v>
      </c>
      <c r="J7" s="93">
        <f t="shared" si="2"/>
        <v>3776.9583193579701</v>
      </c>
      <c r="K7" s="93">
        <f t="shared" si="2"/>
        <v>3704.266544104803</v>
      </c>
      <c r="L7" s="93">
        <f t="shared" si="2"/>
        <v>3603.1264916047689</v>
      </c>
      <c r="M7" s="93">
        <f>M5*(1-M6)</f>
        <v>3667.9827684536549</v>
      </c>
    </row>
    <row r="8" spans="1:14" ht="15" customHeight="1">
      <c r="A8" s="45" t="s">
        <v>15</v>
      </c>
      <c r="B8" s="92"/>
      <c r="C8" s="93">
        <f t="shared" ref="C8:L8" si="3">(C3-B3)/C38</f>
        <v>1324.2614870235207</v>
      </c>
      <c r="D8" s="93">
        <f t="shared" si="3"/>
        <v>1390.4745613746973</v>
      </c>
      <c r="E8" s="93">
        <f t="shared" si="3"/>
        <v>1459.9982894434318</v>
      </c>
      <c r="F8" s="93">
        <f t="shared" si="3"/>
        <v>1532.998203915603</v>
      </c>
      <c r="G8" s="93">
        <f t="shared" si="3"/>
        <v>1609.6481141113834</v>
      </c>
      <c r="H8" s="93">
        <f t="shared" si="3"/>
        <v>1473.7938132803831</v>
      </c>
      <c r="I8" s="93">
        <f t="shared" si="3"/>
        <v>1312.2822365978375</v>
      </c>
      <c r="J8" s="93">
        <f t="shared" si="3"/>
        <v>1126.9315425434897</v>
      </c>
      <c r="K8" s="93">
        <f t="shared" si="3"/>
        <v>920.2610789257609</v>
      </c>
      <c r="L8" s="93">
        <f t="shared" si="3"/>
        <v>695.44582321836049</v>
      </c>
      <c r="M8" s="97">
        <f>IF(M2&gt;0,(M2/M40)*M7,0)</f>
        <v>1047.9950767010444</v>
      </c>
      <c r="N8" s="111">
        <f>SUM(C8:M8)</f>
        <v>13894.090227135513</v>
      </c>
    </row>
    <row r="9" spans="1:14" ht="15" customHeight="1">
      <c r="A9" s="45" t="s">
        <v>16</v>
      </c>
      <c r="B9" s="92"/>
      <c r="C9" s="93">
        <f t="shared" ref="C9:L9" si="4">C7-C8</f>
        <v>1836.1583871768789</v>
      </c>
      <c r="D9" s="93">
        <f t="shared" si="4"/>
        <v>1922.8414208081176</v>
      </c>
      <c r="E9" s="93">
        <f t="shared" si="4"/>
        <v>2013.6023618345391</v>
      </c>
      <c r="F9" s="93">
        <f t="shared" si="4"/>
        <v>2108.6322934115824</v>
      </c>
      <c r="G9" s="93">
        <f t="shared" si="4"/>
        <v>2208.1312122417421</v>
      </c>
      <c r="H9" s="93">
        <f t="shared" si="4"/>
        <v>2359.9251659579704</v>
      </c>
      <c r="I9" s="93">
        <f t="shared" si="4"/>
        <v>2507.9363853667446</v>
      </c>
      <c r="J9" s="93">
        <f t="shared" si="4"/>
        <v>2650.0267768144804</v>
      </c>
      <c r="K9" s="93">
        <f t="shared" si="4"/>
        <v>2784.0054651790419</v>
      </c>
      <c r="L9" s="93">
        <f t="shared" si="4"/>
        <v>2907.6806683864083</v>
      </c>
      <c r="M9" s="97">
        <f>M7-M8</f>
        <v>2619.9876917526108</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3.6822428011444919E-2</v>
      </c>
      <c r="D12" s="90">
        <f>C12</f>
        <v>3.6822428011444919E-2</v>
      </c>
      <c r="E12" s="90">
        <f>D12</f>
        <v>3.6822428011444919E-2</v>
      </c>
      <c r="F12" s="90">
        <f>E12</f>
        <v>3.6822428011444919E-2</v>
      </c>
      <c r="G12" s="90">
        <f>F12</f>
        <v>3.6822428011444919E-2</v>
      </c>
      <c r="H12" s="90">
        <f>G12-($G$12-$M$12)/5</f>
        <v>4.2057942409155932E-2</v>
      </c>
      <c r="I12" s="90">
        <f>H12-($G$12-$M$12)/5</f>
        <v>4.7293456806866946E-2</v>
      </c>
      <c r="J12" s="90">
        <f>I12-($G$12-$M$12)/5</f>
        <v>5.2528971204577959E-2</v>
      </c>
      <c r="K12" s="90">
        <f>J12-($G$12-$M$12)/5</f>
        <v>5.7764485602288973E-2</v>
      </c>
      <c r="L12" s="90">
        <f>K12-($G$12-$M$12)/5</f>
        <v>6.2999999999999987E-2</v>
      </c>
      <c r="M12" s="91">
        <f>IF('Input sheet'!B40="Yes",'Input sheet'!B41,'Input sheet'!B29+0.045)</f>
        <v>6.3E-2</v>
      </c>
    </row>
    <row r="13" spans="1:14" ht="15" customHeight="1">
      <c r="A13" s="46" t="s">
        <v>142</v>
      </c>
      <c r="B13" s="89"/>
      <c r="C13" s="153">
        <f>1/(1+C12)</f>
        <v>0.96448530913623487</v>
      </c>
      <c r="D13" s="153">
        <f>C13*(1/(1+D12))</f>
        <v>0.93023191153961859</v>
      </c>
      <c r="E13" s="153">
        <f t="shared" ref="E13:L13" si="6">D13*(1/(1+E12))</f>
        <v>0.89719501276967972</v>
      </c>
      <c r="F13" s="153">
        <f t="shared" si="6"/>
        <v>0.86533140924665275</v>
      </c>
      <c r="G13" s="153">
        <f t="shared" si="6"/>
        <v>0.83459943175255169</v>
      </c>
      <c r="H13" s="153">
        <f t="shared" si="6"/>
        <v>0.80091461116166307</v>
      </c>
      <c r="I13" s="153">
        <f t="shared" si="6"/>
        <v>0.76474707824834709</v>
      </c>
      <c r="J13" s="153">
        <f t="shared" si="6"/>
        <v>0.72658054948656103</v>
      </c>
      <c r="K13" s="153">
        <f t="shared" si="6"/>
        <v>0.68690200831695303</v>
      </c>
      <c r="L13" s="153">
        <f t="shared" si="6"/>
        <v>0.6461919175135965</v>
      </c>
      <c r="M13" s="98"/>
    </row>
    <row r="14" spans="1:14" ht="15" customHeight="1">
      <c r="A14" s="46" t="s">
        <v>21</v>
      </c>
      <c r="B14" s="89"/>
      <c r="C14" s="93">
        <f t="shared" ref="C14:L14" si="7">C9*C13</f>
        <v>1770.9477896793826</v>
      </c>
      <c r="D14" s="93">
        <f t="shared" si="7"/>
        <v>1788.6884504658915</v>
      </c>
      <c r="E14" s="93">
        <f t="shared" si="7"/>
        <v>1806.5939967391967</v>
      </c>
      <c r="F14" s="93">
        <f t="shared" si="7"/>
        <v>1824.665754040846</v>
      </c>
      <c r="G14" s="93">
        <f t="shared" si="7"/>
        <v>1842.9050549720312</v>
      </c>
      <c r="H14" s="93">
        <f t="shared" si="7"/>
        <v>1890.098546663851</v>
      </c>
      <c r="I14" s="93">
        <f t="shared" si="7"/>
        <v>1917.9370231419387</v>
      </c>
      <c r="J14" s="93">
        <f t="shared" si="7"/>
        <v>1925.4579116519653</v>
      </c>
      <c r="K14" s="93">
        <f t="shared" si="7"/>
        <v>1912.3389451968569</v>
      </c>
      <c r="L14" s="93">
        <f t="shared" si="7"/>
        <v>1878.9197466218291</v>
      </c>
      <c r="M14" s="98"/>
    </row>
    <row r="15" spans="1:14" ht="15" customHeight="1">
      <c r="A15" s="46"/>
      <c r="B15" s="45"/>
      <c r="C15" s="51"/>
      <c r="D15" s="51"/>
      <c r="E15" s="51"/>
      <c r="F15" s="51"/>
      <c r="G15" s="51"/>
      <c r="H15" s="51"/>
      <c r="I15" s="51"/>
      <c r="J15" s="51"/>
      <c r="K15" s="51"/>
      <c r="L15" s="51"/>
    </row>
    <row r="16" spans="1:14" ht="15" customHeight="1">
      <c r="A16" s="48" t="s">
        <v>22</v>
      </c>
      <c r="B16" s="92">
        <f>M9</f>
        <v>2619.9876917526108</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58221.948705613577</v>
      </c>
      <c r="C18" s="51"/>
      <c r="D18" s="154"/>
      <c r="E18" s="51"/>
      <c r="F18" s="51"/>
      <c r="G18" s="51"/>
      <c r="H18" s="51"/>
      <c r="I18" s="51"/>
      <c r="J18" s="51"/>
      <c r="K18" s="51"/>
      <c r="L18" s="51"/>
    </row>
    <row r="19" spans="1:12">
      <c r="A19" s="48" t="s">
        <v>24</v>
      </c>
      <c r="B19" s="99">
        <f>B18*L13</f>
        <v>37622.552675458697</v>
      </c>
      <c r="C19" s="51"/>
      <c r="D19" s="51"/>
      <c r="E19" s="51"/>
      <c r="F19" s="51"/>
      <c r="G19" s="51"/>
      <c r="H19" s="51"/>
      <c r="I19" s="51"/>
      <c r="J19" s="51"/>
      <c r="K19" s="51"/>
      <c r="L19" s="51"/>
    </row>
    <row r="20" spans="1:12">
      <c r="A20" s="48" t="s">
        <v>46</v>
      </c>
      <c r="B20" s="99">
        <f>SUM(C14:L14)</f>
        <v>18558.553219173788</v>
      </c>
      <c r="C20" s="51"/>
      <c r="D20" s="51"/>
      <c r="E20" s="51"/>
      <c r="F20" s="51"/>
      <c r="G20" s="51"/>
      <c r="H20" s="51"/>
      <c r="I20" s="51"/>
      <c r="J20" s="51"/>
      <c r="K20" s="51"/>
      <c r="L20" s="51"/>
    </row>
    <row r="21" spans="1:12">
      <c r="A21" s="48" t="s">
        <v>47</v>
      </c>
      <c r="B21" s="99">
        <f>B19+B20</f>
        <v>56181.105894632485</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28090.552947316242</v>
      </c>
      <c r="C23" s="51"/>
      <c r="D23" s="51"/>
      <c r="E23" s="51"/>
      <c r="F23" s="51"/>
      <c r="G23" s="51"/>
      <c r="H23" s="51"/>
      <c r="I23" s="51"/>
      <c r="J23" s="51"/>
      <c r="K23" s="51"/>
      <c r="L23" s="51"/>
    </row>
    <row r="24" spans="1:12">
      <c r="A24" s="48" t="s">
        <v>44</v>
      </c>
      <c r="B24" s="92">
        <f>B21*(1-B22)+B23*B22</f>
        <v>56181.105894632485</v>
      </c>
      <c r="C24" s="51"/>
      <c r="D24" s="51"/>
      <c r="E24" s="51"/>
      <c r="F24" s="51"/>
      <c r="G24" s="51"/>
      <c r="H24" s="51"/>
      <c r="I24" s="51"/>
      <c r="J24" s="51"/>
      <c r="K24" s="51"/>
      <c r="L24" s="51"/>
    </row>
    <row r="25" spans="1:12">
      <c r="A25" s="48" t="s">
        <v>384</v>
      </c>
      <c r="B25" s="92">
        <f>IF('Input sheet'!B14="Yes",'Input sheet'!B12+'Operating lease converter'!C28,'Input sheet'!B12)+'Input sheet'!B18</f>
        <v>15719.229740470379</v>
      </c>
      <c r="C25" s="51"/>
      <c r="D25" s="51"/>
      <c r="E25" s="51"/>
      <c r="F25" s="51"/>
      <c r="G25" s="51"/>
      <c r="H25" s="51"/>
      <c r="I25" s="51"/>
      <c r="J25" s="51"/>
      <c r="K25" s="51"/>
      <c r="L25" s="51"/>
    </row>
    <row r="26" spans="1:12">
      <c r="A26" s="48" t="s">
        <v>386</v>
      </c>
      <c r="B26" s="92">
        <f>'Input sheet'!B17</f>
        <v>2061</v>
      </c>
      <c r="C26" s="51"/>
      <c r="D26" s="51"/>
      <c r="E26" s="51"/>
      <c r="F26" s="51"/>
      <c r="G26" s="51"/>
      <c r="H26" s="51"/>
      <c r="I26" s="51"/>
      <c r="J26" s="51"/>
      <c r="K26" s="51"/>
      <c r="L26" s="51"/>
    </row>
    <row r="27" spans="1:12">
      <c r="A27" s="48" t="s">
        <v>383</v>
      </c>
      <c r="B27" s="92">
        <f>IF('Input sheet'!B59="YES",'Input sheet'!B15-'Input sheet'!B60*('Input sheet'!B22-'Input sheet'!B61),'Input sheet'!B15)</f>
        <v>813</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39213.876154162106</v>
      </c>
      <c r="C29" s="51"/>
      <c r="D29" s="51"/>
      <c r="E29" s="51"/>
      <c r="F29" s="51"/>
      <c r="G29" s="51"/>
      <c r="H29" s="51"/>
      <c r="I29" s="51"/>
      <c r="J29" s="51"/>
      <c r="K29" s="51"/>
      <c r="L29" s="51"/>
    </row>
    <row r="30" spans="1:12">
      <c r="A30" s="48" t="s">
        <v>57</v>
      </c>
      <c r="B30" s="102">
        <f ca="1">IF('Input sheet'!B32="No",0,'Option value'!D27)</f>
        <v>2528.566209891937</v>
      </c>
      <c r="C30" s="51"/>
      <c r="D30" s="51"/>
      <c r="E30" s="51"/>
      <c r="F30" s="51"/>
      <c r="G30" s="51"/>
      <c r="H30" s="51"/>
      <c r="I30" s="51"/>
      <c r="J30" s="51"/>
      <c r="K30" s="51"/>
      <c r="L30" s="51"/>
    </row>
    <row r="31" spans="1:12">
      <c r="A31" s="48" t="s">
        <v>58</v>
      </c>
      <c r="B31" s="99">
        <f ca="1">B29-B30</f>
        <v>36685.309944270171</v>
      </c>
      <c r="C31" s="51"/>
      <c r="D31" s="51"/>
      <c r="E31" s="51"/>
      <c r="F31" s="51"/>
      <c r="G31" s="51"/>
      <c r="H31" s="51"/>
      <c r="I31" s="51"/>
      <c r="J31" s="51"/>
      <c r="K31" s="51"/>
      <c r="L31" s="51"/>
    </row>
    <row r="32" spans="1:12">
      <c r="A32" s="48" t="s">
        <v>13</v>
      </c>
      <c r="B32" s="103">
        <f>'Input sheet'!B19</f>
        <v>523.9</v>
      </c>
      <c r="C32" s="51"/>
      <c r="D32" s="51"/>
      <c r="E32" s="51"/>
      <c r="F32" s="51"/>
      <c r="G32" s="51"/>
      <c r="H32" s="51"/>
      <c r="I32" s="51"/>
      <c r="J32" s="51"/>
      <c r="K32" s="51"/>
      <c r="L32" s="51"/>
    </row>
    <row r="33" spans="1:13">
      <c r="A33" s="48" t="s">
        <v>93</v>
      </c>
      <c r="B33" s="104">
        <f ca="1">B31/B32</f>
        <v>70.023496744169066</v>
      </c>
      <c r="C33" s="51"/>
      <c r="D33" s="51"/>
      <c r="E33" s="51"/>
      <c r="F33" s="51"/>
      <c r="G33" s="51"/>
      <c r="H33" s="51"/>
      <c r="I33" s="51"/>
      <c r="J33" s="51"/>
      <c r="K33" s="51"/>
      <c r="L33" s="51"/>
    </row>
    <row r="34" spans="1:13">
      <c r="A34" s="48" t="s">
        <v>100</v>
      </c>
      <c r="B34" s="105">
        <f>'Input sheet'!B20</f>
        <v>28.32</v>
      </c>
      <c r="C34" s="51"/>
      <c r="D34" s="51"/>
      <c r="E34" s="51"/>
      <c r="F34" s="51"/>
      <c r="G34" s="51"/>
      <c r="H34" s="51"/>
      <c r="I34" s="51"/>
      <c r="J34" s="51"/>
      <c r="K34" s="51"/>
      <c r="L34" s="51"/>
    </row>
    <row r="35" spans="1:13">
      <c r="A35" s="48" t="s">
        <v>52</v>
      </c>
      <c r="B35" s="95">
        <f ca="1">B34/B33</f>
        <v>0.40443567254956087</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0.41830862365792099</v>
      </c>
      <c r="D38" s="106">
        <f>C38</f>
        <v>0.41830862365792099</v>
      </c>
      <c r="E38" s="106">
        <f t="shared" ref="E38:L38" si="8">D38</f>
        <v>0.41830862365792099</v>
      </c>
      <c r="F38" s="106">
        <f t="shared" si="8"/>
        <v>0.41830862365792099</v>
      </c>
      <c r="G38" s="106">
        <f t="shared" si="8"/>
        <v>0.41830862365792099</v>
      </c>
      <c r="H38" s="106">
        <f t="shared" si="8"/>
        <v>0.41830862365792099</v>
      </c>
      <c r="I38" s="106">
        <f t="shared" si="8"/>
        <v>0.41830862365792099</v>
      </c>
      <c r="J38" s="106">
        <f t="shared" si="8"/>
        <v>0.41830862365792099</v>
      </c>
      <c r="K38" s="106">
        <f t="shared" si="8"/>
        <v>0.41830862365792099</v>
      </c>
      <c r="L38" s="106">
        <f t="shared" si="8"/>
        <v>0.41830862365792099</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26485.229740470379</v>
      </c>
      <c r="C39" s="108">
        <f t="shared" ref="C39:L39" si="9">B39+C8</f>
        <v>27809.491227493898</v>
      </c>
      <c r="D39" s="108">
        <f t="shared" si="9"/>
        <v>29199.965788868594</v>
      </c>
      <c r="E39" s="108">
        <f t="shared" si="9"/>
        <v>30659.964078312027</v>
      </c>
      <c r="F39" s="108">
        <f t="shared" si="9"/>
        <v>32192.962282227629</v>
      </c>
      <c r="G39" s="108">
        <f t="shared" si="9"/>
        <v>33802.610396339012</v>
      </c>
      <c r="H39" s="108">
        <f t="shared" si="9"/>
        <v>35276.404209619395</v>
      </c>
      <c r="I39" s="108">
        <f t="shared" si="9"/>
        <v>36588.686446217231</v>
      </c>
      <c r="J39" s="108">
        <f t="shared" si="9"/>
        <v>37715.617988760721</v>
      </c>
      <c r="K39" s="108">
        <f t="shared" si="9"/>
        <v>38635.879067686481</v>
      </c>
      <c r="L39" s="108">
        <f t="shared" si="9"/>
        <v>39331.324890904842</v>
      </c>
      <c r="M39" s="98"/>
    </row>
    <row r="40" spans="1:13">
      <c r="A40" s="44" t="s">
        <v>19</v>
      </c>
      <c r="B40" s="94">
        <f t="shared" ref="B40:L40" si="10">B7/B39</f>
        <v>0.11382087834174828</v>
      </c>
      <c r="C40" s="90">
        <f t="shared" si="10"/>
        <v>0.11364536835092637</v>
      </c>
      <c r="D40" s="90">
        <f t="shared" si="10"/>
        <v>0.11346985836010445</v>
      </c>
      <c r="E40" s="90">
        <f t="shared" si="10"/>
        <v>0.11329434836928252</v>
      </c>
      <c r="F40" s="90">
        <f t="shared" si="10"/>
        <v>0.11311883837846061</v>
      </c>
      <c r="G40" s="90">
        <f t="shared" si="10"/>
        <v>0.11294332838763867</v>
      </c>
      <c r="H40" s="90">
        <f t="shared" si="10"/>
        <v>0.10867658042632787</v>
      </c>
      <c r="I40" s="90">
        <f t="shared" si="10"/>
        <v>0.10440983246501709</v>
      </c>
      <c r="J40" s="90">
        <f t="shared" si="10"/>
        <v>0.10014308450370629</v>
      </c>
      <c r="K40" s="90">
        <f t="shared" si="10"/>
        <v>9.587633654239551E-2</v>
      </c>
      <c r="L40" s="110">
        <f t="shared" si="10"/>
        <v>9.1609588581084714E-2</v>
      </c>
      <c r="M40" s="90">
        <f>IF('Input sheet'!B43="Yes",'Input sheet'!B44,'Valuation output'!L12)</f>
        <v>6.2999999999999987E-2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Discovery</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11079</v>
      </c>
      <c r="C9" s="275">
        <f>'Input sheet'!B24</f>
        <v>0.05</v>
      </c>
      <c r="D9" s="275">
        <f>F9</f>
        <v>1.7999999999999999E-2</v>
      </c>
      <c r="E9" s="276"/>
      <c r="F9" s="275">
        <f>'Valuation output'!M2</f>
        <v>1.7999999999999999E-2</v>
      </c>
      <c r="G9" s="299" t="s">
        <v>744</v>
      </c>
      <c r="H9" s="398" t="s">
        <v>643</v>
      </c>
      <c r="I9" s="399"/>
      <c r="J9" s="399"/>
      <c r="K9" s="400"/>
    </row>
    <row r="10" spans="1:11">
      <c r="A10" s="273" t="s">
        <v>630</v>
      </c>
      <c r="B10" s="275">
        <f>'Valuation output'!B4</f>
        <v>0.30233094765305057</v>
      </c>
      <c r="C10" s="277">
        <f>B10</f>
        <v>0.30233094765305057</v>
      </c>
      <c r="D10" s="278">
        <f>F10</f>
        <v>0.3</v>
      </c>
      <c r="E10" s="278"/>
      <c r="F10" s="275">
        <f>'Valuation output'!M4</f>
        <v>0.3</v>
      </c>
      <c r="G10" s="304" t="s">
        <v>745</v>
      </c>
      <c r="H10" s="401"/>
      <c r="I10" s="402"/>
      <c r="J10" s="402"/>
      <c r="K10" s="403"/>
    </row>
    <row r="11" spans="1:11">
      <c r="A11" s="273" t="s">
        <v>137</v>
      </c>
      <c r="B11" s="275">
        <f>'Valuation output'!B6</f>
        <v>0.1</v>
      </c>
      <c r="C11" s="277">
        <f>B11</f>
        <v>0.1</v>
      </c>
      <c r="D11" s="278">
        <f>F11</f>
        <v>0.27</v>
      </c>
      <c r="E11" s="278"/>
      <c r="F11" s="275">
        <f>'Valuation output'!M6</f>
        <v>0.27</v>
      </c>
      <c r="G11" s="304" t="s">
        <v>746</v>
      </c>
      <c r="H11" s="401"/>
      <c r="I11" s="402"/>
      <c r="J11" s="402"/>
      <c r="K11" s="403"/>
    </row>
    <row r="12" spans="1:11">
      <c r="A12" s="273" t="s">
        <v>631</v>
      </c>
      <c r="B12" s="276"/>
      <c r="C12" s="279" t="s">
        <v>635</v>
      </c>
      <c r="D12" s="280">
        <f>'Input sheet'!B27</f>
        <v>0.41830862365792099</v>
      </c>
      <c r="E12" s="281" t="s">
        <v>647</v>
      </c>
      <c r="F12" s="282">
        <f>'Valuation output'!M2/'Valuation output'!M40</f>
        <v>0.28571428571428575</v>
      </c>
      <c r="G12" s="304" t="s">
        <v>747</v>
      </c>
      <c r="H12" s="401"/>
      <c r="I12" s="402"/>
      <c r="J12" s="402"/>
      <c r="K12" s="403"/>
    </row>
    <row r="13" spans="1:11">
      <c r="A13" s="306" t="s">
        <v>645</v>
      </c>
      <c r="B13" s="310">
        <f>'Valuation output'!B40</f>
        <v>0.11382087834174828</v>
      </c>
      <c r="C13" s="313" t="s">
        <v>646</v>
      </c>
      <c r="D13" s="314">
        <f>Diagnostics!B6</f>
        <v>0.1234822821178687</v>
      </c>
      <c r="E13" s="307"/>
      <c r="F13" s="308">
        <f>'Valuation output'!M40</f>
        <v>6.2999999999999987E-2</v>
      </c>
      <c r="G13" s="309" t="s">
        <v>748</v>
      </c>
      <c r="H13" s="401"/>
      <c r="I13" s="402"/>
      <c r="J13" s="402"/>
      <c r="K13" s="403"/>
    </row>
    <row r="14" spans="1:11" ht="17" thickBot="1">
      <c r="A14" s="283" t="s">
        <v>632</v>
      </c>
      <c r="B14" s="311"/>
      <c r="C14" s="277">
        <f>'Valuation output'!C12</f>
        <v>3.6822428011444919E-2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11632.95</v>
      </c>
      <c r="C17" s="287">
        <f>'Valuation output'!C4</f>
        <v>0.30186475812244046</v>
      </c>
      <c r="D17" s="274">
        <f>B17*C17</f>
        <v>3511.577638000444</v>
      </c>
      <c r="E17" s="286">
        <f>'Valuation output'!C7</f>
        <v>3160.4198742003996</v>
      </c>
      <c r="F17" s="286">
        <f>'Valuation output'!C8</f>
        <v>1324.2614870235207</v>
      </c>
      <c r="G17" s="317">
        <f>E17-F17</f>
        <v>1836.1583871768789</v>
      </c>
      <c r="H17" s="410"/>
      <c r="I17" s="411"/>
      <c r="J17" s="411"/>
      <c r="K17" s="412"/>
    </row>
    <row r="18" spans="1:11">
      <c r="A18" s="285">
        <v>2</v>
      </c>
      <c r="B18" s="286">
        <f>'Valuation output'!D3</f>
        <v>12214.597500000002</v>
      </c>
      <c r="C18" s="287">
        <f>'Valuation output'!D4</f>
        <v>0.30139856859183034</v>
      </c>
      <c r="D18" s="274">
        <f t="shared" ref="D18:D27" si="0">B18*C18</f>
        <v>3681.4622024253499</v>
      </c>
      <c r="E18" s="286">
        <f>'Valuation output'!D7</f>
        <v>3313.3159821828149</v>
      </c>
      <c r="F18" s="286">
        <f>'Valuation output'!D8</f>
        <v>1390.4745613746973</v>
      </c>
      <c r="G18" s="317">
        <f t="shared" ref="G18:G27" si="1">E18-F18</f>
        <v>1922.8414208081176</v>
      </c>
      <c r="H18" s="410"/>
      <c r="I18" s="411"/>
      <c r="J18" s="411"/>
      <c r="K18" s="412"/>
    </row>
    <row r="19" spans="1:11">
      <c r="A19" s="285">
        <v>3</v>
      </c>
      <c r="B19" s="286">
        <f>'Valuation output'!E3</f>
        <v>12825.327375000003</v>
      </c>
      <c r="C19" s="287">
        <f>'Valuation output'!E4</f>
        <v>0.30093237906122022</v>
      </c>
      <c r="D19" s="274">
        <f t="shared" si="0"/>
        <v>3859.5562791977454</v>
      </c>
      <c r="E19" s="286">
        <f>'Valuation output'!E7</f>
        <v>3473.6006512779709</v>
      </c>
      <c r="F19" s="286">
        <f>'Valuation output'!E8</f>
        <v>1459.9982894434318</v>
      </c>
      <c r="G19" s="317">
        <f t="shared" si="1"/>
        <v>2013.6023618345391</v>
      </c>
      <c r="H19" s="410"/>
      <c r="I19" s="411"/>
      <c r="J19" s="411"/>
      <c r="K19" s="412"/>
    </row>
    <row r="20" spans="1:11">
      <c r="A20" s="285">
        <v>4</v>
      </c>
      <c r="B20" s="286">
        <f>'Valuation output'!F3</f>
        <v>13466.593743750003</v>
      </c>
      <c r="C20" s="287">
        <f>'Valuation output'!F4</f>
        <v>0.30046618953061011</v>
      </c>
      <c r="D20" s="274">
        <f t="shared" si="0"/>
        <v>4046.2561081413169</v>
      </c>
      <c r="E20" s="286">
        <f>'Valuation output'!F7</f>
        <v>3641.6304973271854</v>
      </c>
      <c r="F20" s="286">
        <f>'Valuation output'!F8</f>
        <v>1532.998203915603</v>
      </c>
      <c r="G20" s="317">
        <f t="shared" si="1"/>
        <v>2108.6322934115824</v>
      </c>
      <c r="H20" s="410"/>
      <c r="I20" s="411"/>
      <c r="J20" s="411"/>
      <c r="K20" s="412"/>
    </row>
    <row r="21" spans="1:11">
      <c r="A21" s="285">
        <v>5</v>
      </c>
      <c r="B21" s="286">
        <f>'Valuation output'!G3</f>
        <v>14139.923430937504</v>
      </c>
      <c r="C21" s="287">
        <f>'Valuation output'!G4</f>
        <v>0.3</v>
      </c>
      <c r="D21" s="274">
        <f t="shared" si="0"/>
        <v>4241.9770292812509</v>
      </c>
      <c r="E21" s="286">
        <f>'Valuation output'!G7</f>
        <v>3817.7793263531257</v>
      </c>
      <c r="F21" s="286">
        <f>'Valuation output'!G8</f>
        <v>1609.6481141113834</v>
      </c>
      <c r="G21" s="317">
        <f t="shared" si="1"/>
        <v>2208.1312122417421</v>
      </c>
      <c r="H21" s="410"/>
      <c r="I21" s="411"/>
      <c r="J21" s="411"/>
      <c r="K21" s="412"/>
    </row>
    <row r="22" spans="1:11">
      <c r="A22" s="285">
        <v>6</v>
      </c>
      <c r="B22" s="286">
        <f>'Valuation output'!H3</f>
        <v>14756.42409252638</v>
      </c>
      <c r="C22" s="287">
        <f>'Valuation output'!H4</f>
        <v>0.3</v>
      </c>
      <c r="D22" s="274">
        <f t="shared" si="0"/>
        <v>4426.9272277579139</v>
      </c>
      <c r="E22" s="286">
        <f>'Valuation output'!H7</f>
        <v>3833.7189792383533</v>
      </c>
      <c r="F22" s="286">
        <f>'Valuation output'!H8</f>
        <v>1473.7938132803831</v>
      </c>
      <c r="G22" s="317">
        <f t="shared" si="1"/>
        <v>2359.9251659579704</v>
      </c>
      <c r="H22" s="410"/>
      <c r="I22" s="411"/>
      <c r="J22" s="411"/>
      <c r="K22" s="412"/>
    </row>
    <row r="23" spans="1:11">
      <c r="A23" s="285">
        <v>7</v>
      </c>
      <c r="B23" s="286">
        <f>'Valuation output'!I3</f>
        <v>15305.36306876836</v>
      </c>
      <c r="C23" s="287">
        <f>'Valuation output'!I4</f>
        <v>0.3</v>
      </c>
      <c r="D23" s="274">
        <f t="shared" si="0"/>
        <v>4591.6089206305078</v>
      </c>
      <c r="E23" s="286">
        <f>'Valuation output'!I7</f>
        <v>3820.2186219645823</v>
      </c>
      <c r="F23" s="286">
        <f>'Valuation output'!I8</f>
        <v>1312.2822365978375</v>
      </c>
      <c r="G23" s="317">
        <f t="shared" si="1"/>
        <v>2507.9363853667446</v>
      </c>
      <c r="H23" s="410"/>
      <c r="I23" s="411"/>
      <c r="J23" s="411"/>
      <c r="K23" s="412"/>
    </row>
    <row r="24" spans="1:11">
      <c r="A24" s="285">
        <v>8</v>
      </c>
      <c r="B24" s="286">
        <f>'Valuation output'!J3</f>
        <v>15776.768251286425</v>
      </c>
      <c r="C24" s="287">
        <f>'Valuation output'!J4</f>
        <v>0.3</v>
      </c>
      <c r="D24" s="274">
        <f t="shared" si="0"/>
        <v>4733.0304753859273</v>
      </c>
      <c r="E24" s="286">
        <f>'Valuation output'!J7</f>
        <v>3776.9583193579701</v>
      </c>
      <c r="F24" s="286">
        <f>'Valuation output'!J8</f>
        <v>1126.9315425434897</v>
      </c>
      <c r="G24" s="317">
        <f t="shared" si="1"/>
        <v>2650.0267768144804</v>
      </c>
      <c r="H24" s="410"/>
      <c r="I24" s="411"/>
      <c r="J24" s="411"/>
      <c r="K24" s="412"/>
    </row>
    <row r="25" spans="1:11">
      <c r="A25" s="285">
        <v>9</v>
      </c>
      <c r="B25" s="286">
        <f>'Valuation output'!K3</f>
        <v>16161.721396617813</v>
      </c>
      <c r="C25" s="287">
        <f>'Valuation output'!K4</f>
        <v>0.3</v>
      </c>
      <c r="D25" s="274">
        <f t="shared" si="0"/>
        <v>4848.516418985344</v>
      </c>
      <c r="E25" s="286">
        <f>'Valuation output'!K7</f>
        <v>3704.266544104803</v>
      </c>
      <c r="F25" s="286">
        <f>'Valuation output'!K8</f>
        <v>920.2610789257609</v>
      </c>
      <c r="G25" s="317">
        <f t="shared" si="1"/>
        <v>2784.0054651790419</v>
      </c>
      <c r="H25" s="410"/>
      <c r="I25" s="411"/>
      <c r="J25" s="411"/>
      <c r="K25" s="412"/>
    </row>
    <row r="26" spans="1:11">
      <c r="A26" s="285">
        <v>10</v>
      </c>
      <c r="B26" s="286">
        <f>'Valuation output'!L3</f>
        <v>16452.632381756936</v>
      </c>
      <c r="C26" s="287">
        <f>'Valuation output'!L4</f>
        <v>0.3</v>
      </c>
      <c r="D26" s="274">
        <f t="shared" si="0"/>
        <v>4935.7897145270808</v>
      </c>
      <c r="E26" s="286">
        <f>'Valuation output'!L7</f>
        <v>3603.1264916047689</v>
      </c>
      <c r="F26" s="286">
        <f>'Valuation output'!L8</f>
        <v>695.44582321836049</v>
      </c>
      <c r="G26" s="317">
        <f t="shared" si="1"/>
        <v>2907.6806683864083</v>
      </c>
      <c r="H26" s="410"/>
      <c r="I26" s="411"/>
      <c r="J26" s="411"/>
      <c r="K26" s="412"/>
    </row>
    <row r="27" spans="1:11" ht="17" thickBot="1">
      <c r="A27" s="288" t="s">
        <v>45</v>
      </c>
      <c r="B27" s="289">
        <f>'Valuation output'!M3</f>
        <v>16748.779764628562</v>
      </c>
      <c r="C27" s="290">
        <f>'Valuation output'!M4</f>
        <v>0.3</v>
      </c>
      <c r="D27" s="274">
        <f t="shared" si="0"/>
        <v>5024.6339293885685</v>
      </c>
      <c r="E27" s="289">
        <f>'Valuation output'!M7</f>
        <v>3667.9827684536549</v>
      </c>
      <c r="F27" s="289">
        <f>'Valuation output'!M8</f>
        <v>1047.9950767010444</v>
      </c>
      <c r="G27" s="317">
        <f t="shared" si="1"/>
        <v>2619.9876917526108</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58221.948705613577</v>
      </c>
      <c r="E29" s="292"/>
      <c r="F29" s="293"/>
      <c r="G29" s="294"/>
      <c r="H29" s="416" t="s">
        <v>648</v>
      </c>
      <c r="I29" s="417"/>
      <c r="J29" s="417"/>
      <c r="K29" s="417"/>
    </row>
    <row r="30" spans="1:11">
      <c r="A30" s="367" t="s">
        <v>627</v>
      </c>
      <c r="B30" s="368"/>
      <c r="C30" s="369"/>
      <c r="D30" s="295">
        <f>'Valuation output'!B19</f>
        <v>37622.552675458697</v>
      </c>
      <c r="E30" s="296"/>
      <c r="F30" s="297"/>
      <c r="G30" s="298"/>
      <c r="H30" s="416"/>
      <c r="I30" s="417"/>
      <c r="J30" s="417"/>
      <c r="K30" s="417"/>
    </row>
    <row r="31" spans="1:11">
      <c r="A31" s="367" t="s">
        <v>46</v>
      </c>
      <c r="B31" s="368"/>
      <c r="C31" s="369"/>
      <c r="D31" s="295">
        <f>'Valuation output'!B20</f>
        <v>18558.553219173788</v>
      </c>
      <c r="E31" s="296"/>
      <c r="F31" s="297"/>
      <c r="G31" s="298"/>
      <c r="H31" s="416"/>
      <c r="I31" s="417"/>
      <c r="J31" s="417"/>
      <c r="K31" s="417"/>
    </row>
    <row r="32" spans="1:11">
      <c r="A32" s="367" t="s">
        <v>44</v>
      </c>
      <c r="B32" s="368"/>
      <c r="C32" s="369"/>
      <c r="D32" s="295">
        <f>'Valuation output'!B21</f>
        <v>56181.105894632485</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17780.229740470379</v>
      </c>
      <c r="E34" s="296"/>
      <c r="F34" s="297"/>
      <c r="G34" s="298"/>
      <c r="H34" s="416"/>
      <c r="I34" s="417"/>
      <c r="J34" s="417"/>
      <c r="K34" s="417"/>
    </row>
    <row r="35" spans="1:11">
      <c r="A35" s="367" t="s">
        <v>639</v>
      </c>
      <c r="B35" s="368"/>
      <c r="C35" s="369"/>
      <c r="D35" s="295">
        <f>'Valuation output'!B27+'Valuation output'!B28</f>
        <v>813</v>
      </c>
      <c r="E35" s="296"/>
      <c r="F35" s="297"/>
      <c r="G35" s="298"/>
      <c r="H35" s="416"/>
      <c r="I35" s="417"/>
      <c r="J35" s="417"/>
      <c r="K35" s="417"/>
    </row>
    <row r="36" spans="1:11">
      <c r="A36" s="367" t="s">
        <v>54</v>
      </c>
      <c r="B36" s="368"/>
      <c r="C36" s="369"/>
      <c r="D36" s="295">
        <f>D32-D33-D34+D35</f>
        <v>39213.876154162106</v>
      </c>
      <c r="E36" s="296"/>
      <c r="F36" s="297"/>
      <c r="G36" s="298"/>
      <c r="H36" s="416"/>
      <c r="I36" s="417"/>
      <c r="J36" s="417"/>
      <c r="K36" s="417"/>
    </row>
    <row r="37" spans="1:11">
      <c r="A37" s="367" t="s">
        <v>640</v>
      </c>
      <c r="B37" s="368"/>
      <c r="C37" s="369"/>
      <c r="D37" s="295">
        <f ca="1">'Valuation output'!B30</f>
        <v>2528.566209891937</v>
      </c>
      <c r="E37" s="296"/>
      <c r="F37" s="297"/>
      <c r="G37" s="298"/>
      <c r="H37" s="416"/>
      <c r="I37" s="417"/>
      <c r="J37" s="417"/>
      <c r="K37" s="417"/>
    </row>
    <row r="38" spans="1:11" ht="17" thickBot="1">
      <c r="A38" s="420" t="s">
        <v>634</v>
      </c>
      <c r="B38" s="421"/>
      <c r="C38" s="421"/>
      <c r="D38" s="303">
        <f>'Valuation output'!B32</f>
        <v>523.9</v>
      </c>
      <c r="E38" s="297"/>
      <c r="F38" s="300"/>
      <c r="G38" s="298"/>
      <c r="H38" s="416"/>
      <c r="I38" s="417"/>
      <c r="J38" s="417"/>
      <c r="K38" s="417"/>
    </row>
    <row r="39" spans="1:11" ht="17" thickBot="1">
      <c r="A39" s="422" t="s">
        <v>611</v>
      </c>
      <c r="B39" s="423"/>
      <c r="C39" s="423"/>
      <c r="D39" s="271">
        <f ca="1">(D36-D37)/D38</f>
        <v>70.023496744169066</v>
      </c>
      <c r="E39" s="424" t="s">
        <v>641</v>
      </c>
      <c r="F39" s="425"/>
      <c r="G39" s="315">
        <f>'Input sheet'!B20</f>
        <v>28.32</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26485.229740470379</v>
      </c>
    </row>
    <row r="3" spans="1:4" s="144" customFormat="1" ht="13">
      <c r="A3" s="147" t="s">
        <v>8</v>
      </c>
      <c r="B3" s="148">
        <f>'Valuation output'!L39</f>
        <v>39331.324890904842</v>
      </c>
    </row>
    <row r="4" spans="1:4" s="144" customFormat="1" ht="13">
      <c r="A4" s="147" t="s">
        <v>9</v>
      </c>
      <c r="B4" s="148">
        <f>B3-B2</f>
        <v>12846.095150434463</v>
      </c>
    </row>
    <row r="5" spans="1:4" s="144" customFormat="1" ht="13">
      <c r="A5" s="147" t="s">
        <v>10</v>
      </c>
      <c r="B5" s="148">
        <f>'Valuation output'!L5-'Valuation output'!B5</f>
        <v>1586.2651454789334</v>
      </c>
    </row>
    <row r="6" spans="1:4" s="144" customFormat="1" ht="13">
      <c r="A6" s="147" t="s">
        <v>4</v>
      </c>
      <c r="B6" s="149">
        <f>B5/B4</f>
        <v>0.1234822821178687</v>
      </c>
    </row>
    <row r="7" spans="1:4" s="144" customFormat="1" ht="13">
      <c r="A7" s="147" t="s">
        <v>5</v>
      </c>
      <c r="B7" s="149">
        <f>'Valuation output'!L40</f>
        <v>9.1609588581084714E-2</v>
      </c>
    </row>
    <row r="8" spans="1:4" s="144" customFormat="1" ht="13">
      <c r="A8" s="147" t="s">
        <v>233</v>
      </c>
      <c r="B8" s="149">
        <f>(1/'Valuation output'!L13)^(1/10)-1</f>
        <v>4.4633256747777406E-2</v>
      </c>
    </row>
    <row r="9" spans="1:4" s="144" customFormat="1" ht="14" thickBot="1">
      <c r="A9" s="150" t="s">
        <v>28</v>
      </c>
      <c r="B9" s="151">
        <f ca="1">'Valuation output'!B33/'Valuation output'!B34</f>
        <v>2.4725810997234841</v>
      </c>
    </row>
    <row r="10" spans="1:4" s="144" customFormat="1" ht="14" thickBot="1">
      <c r="A10" s="152"/>
      <c r="B10" s="426" t="str">
        <f ca="1">IF(B9="NA","Value is negative. See below",IF(B9&gt;2,"Value seems high. See below",IF(B9&lt;0.5,"Value seems low. See below"," ")))</f>
        <v>Value seems high. See below</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11079</v>
      </c>
      <c r="D2" s="331">
        <f>'Valuation output'!B4</f>
        <v>0.30233094765305057</v>
      </c>
      <c r="E2" s="330">
        <f>B2*D2</f>
        <v>3349.5245690481474</v>
      </c>
      <c r="F2" s="330">
        <f>'Valuation output'!B10</f>
        <v>0</v>
      </c>
      <c r="G2" s="330">
        <f>E2-H2</f>
        <v>334.95245690481488</v>
      </c>
      <c r="H2" s="330">
        <f>'Valuation output'!B7</f>
        <v>3014.5721121433326</v>
      </c>
    </row>
    <row r="3" spans="1:8" s="329" customFormat="1">
      <c r="A3" s="329">
        <v>1</v>
      </c>
      <c r="B3" s="330">
        <f>'Valuation output'!C3</f>
        <v>11632.95</v>
      </c>
      <c r="C3" s="331">
        <f>'Valuation output'!C2</f>
        <v>0.05</v>
      </c>
      <c r="D3" s="331">
        <f>'Valuation output'!C4</f>
        <v>0.30186475812244046</v>
      </c>
      <c r="E3" s="330">
        <f>B3*D3</f>
        <v>3511.577638000444</v>
      </c>
      <c r="F3" s="330">
        <f>'Valuation output'!C10</f>
        <v>0</v>
      </c>
      <c r="G3" s="330">
        <f t="shared" ref="G3:G12" si="0">E3-H3</f>
        <v>351.15776380004445</v>
      </c>
      <c r="H3" s="330">
        <f>'Valuation output'!C7</f>
        <v>3160.4198742003996</v>
      </c>
    </row>
    <row r="4" spans="1:8" s="329" customFormat="1">
      <c r="A4" s="329">
        <v>2</v>
      </c>
      <c r="B4" s="333">
        <f>'Valuation output'!D3</f>
        <v>12214.597500000002</v>
      </c>
      <c r="C4" s="331">
        <f>B4/B3-1</f>
        <v>5.0000000000000044E-2</v>
      </c>
      <c r="D4" s="331">
        <f>'Valuation output'!D4</f>
        <v>0.30139856859183034</v>
      </c>
      <c r="E4" s="330">
        <f t="shared" ref="E4:E12" si="1">B4*D4</f>
        <v>3681.4622024253499</v>
      </c>
      <c r="F4" s="330">
        <f>'Valuation output'!D10</f>
        <v>0</v>
      </c>
      <c r="G4" s="330">
        <f t="shared" si="0"/>
        <v>368.14622024253504</v>
      </c>
      <c r="H4" s="330">
        <f>'Valuation output'!D7</f>
        <v>3313.3159821828149</v>
      </c>
    </row>
    <row r="5" spans="1:8" s="329" customFormat="1">
      <c r="A5" s="329">
        <v>3</v>
      </c>
      <c r="B5" s="330">
        <f>'Valuation output'!E3</f>
        <v>12825.327375000003</v>
      </c>
      <c r="C5" s="331">
        <f t="shared" ref="C5:C12" si="2">B5/B4-1</f>
        <v>5.0000000000000044E-2</v>
      </c>
      <c r="D5" s="331">
        <f>'Valuation output'!E4</f>
        <v>0.30093237906122022</v>
      </c>
      <c r="E5" s="330">
        <f t="shared" si="1"/>
        <v>3859.5562791977454</v>
      </c>
      <c r="F5" s="330">
        <f>'Valuation output'!E10</f>
        <v>0</v>
      </c>
      <c r="G5" s="330">
        <f t="shared" si="0"/>
        <v>385.95562791977454</v>
      </c>
      <c r="H5" s="330">
        <f>'Valuation output'!E7</f>
        <v>3473.6006512779709</v>
      </c>
    </row>
    <row r="6" spans="1:8" s="329" customFormat="1">
      <c r="A6" s="329">
        <v>4</v>
      </c>
      <c r="B6" s="330">
        <f>'Valuation output'!F3</f>
        <v>13466.593743750003</v>
      </c>
      <c r="C6" s="331">
        <f t="shared" si="2"/>
        <v>5.0000000000000044E-2</v>
      </c>
      <c r="D6" s="331">
        <f>'Valuation output'!F4</f>
        <v>0.30046618953061011</v>
      </c>
      <c r="E6" s="330">
        <f t="shared" si="1"/>
        <v>4046.2561081413169</v>
      </c>
      <c r="F6" s="330">
        <f>'Valuation output'!F10</f>
        <v>0</v>
      </c>
      <c r="G6" s="330">
        <f t="shared" si="0"/>
        <v>404.62561081413151</v>
      </c>
      <c r="H6" s="330">
        <f>'Valuation output'!F7</f>
        <v>3641.6304973271854</v>
      </c>
    </row>
    <row r="7" spans="1:8" s="329" customFormat="1">
      <c r="A7" s="329">
        <v>5</v>
      </c>
      <c r="B7" s="330">
        <f>'Valuation output'!G3</f>
        <v>14139.923430937504</v>
      </c>
      <c r="C7" s="331">
        <f t="shared" si="2"/>
        <v>5.0000000000000044E-2</v>
      </c>
      <c r="D7" s="331">
        <f>'Valuation output'!G4</f>
        <v>0.3</v>
      </c>
      <c r="E7" s="330">
        <f t="shared" si="1"/>
        <v>4241.9770292812509</v>
      </c>
      <c r="F7" s="330">
        <f>'Valuation output'!G10</f>
        <v>0</v>
      </c>
      <c r="G7" s="330">
        <f t="shared" si="0"/>
        <v>424.19770292812518</v>
      </c>
      <c r="H7" s="330">
        <f>'Valuation output'!G7</f>
        <v>3817.7793263531257</v>
      </c>
    </row>
    <row r="8" spans="1:8" s="329" customFormat="1">
      <c r="A8" s="329">
        <v>6</v>
      </c>
      <c r="B8" s="330">
        <f>'Valuation output'!H3</f>
        <v>14756.42409252638</v>
      </c>
      <c r="C8" s="331">
        <f t="shared" si="2"/>
        <v>4.3600000000000083E-2</v>
      </c>
      <c r="D8" s="331">
        <f>'Valuation output'!H4</f>
        <v>0.3</v>
      </c>
      <c r="E8" s="330">
        <f t="shared" si="1"/>
        <v>4426.9272277579139</v>
      </c>
      <c r="F8" s="330">
        <f>'Valuation output'!H10</f>
        <v>0</v>
      </c>
      <c r="G8" s="330">
        <f t="shared" si="0"/>
        <v>593.20824851956058</v>
      </c>
      <c r="H8" s="330">
        <f>'Valuation output'!H7</f>
        <v>3833.7189792383533</v>
      </c>
    </row>
    <row r="9" spans="1:8" s="329" customFormat="1">
      <c r="A9" s="329">
        <v>7</v>
      </c>
      <c r="B9" s="330">
        <f>'Valuation output'!I3</f>
        <v>15305.36306876836</v>
      </c>
      <c r="C9" s="331">
        <f t="shared" si="2"/>
        <v>3.71999999999999E-2</v>
      </c>
      <c r="D9" s="331">
        <f>'Valuation output'!I4</f>
        <v>0.3</v>
      </c>
      <c r="E9" s="330">
        <f t="shared" si="1"/>
        <v>4591.6089206305078</v>
      </c>
      <c r="F9" s="330">
        <f>'Valuation output'!I10</f>
        <v>0</v>
      </c>
      <c r="G9" s="330">
        <f t="shared" si="0"/>
        <v>771.39029866592546</v>
      </c>
      <c r="H9" s="330">
        <f>'Valuation output'!I7</f>
        <v>3820.2186219645823</v>
      </c>
    </row>
    <row r="10" spans="1:8" s="329" customFormat="1">
      <c r="A10" s="329">
        <v>8</v>
      </c>
      <c r="B10" s="330">
        <f>'Valuation output'!J3</f>
        <v>15776.768251286425</v>
      </c>
      <c r="C10" s="331">
        <f t="shared" si="2"/>
        <v>3.0799999999999939E-2</v>
      </c>
      <c r="D10" s="331">
        <f>'Valuation output'!J4</f>
        <v>0.3</v>
      </c>
      <c r="E10" s="330">
        <f t="shared" si="1"/>
        <v>4733.0304753859273</v>
      </c>
      <c r="F10" s="330">
        <f>'Valuation output'!J10</f>
        <v>0</v>
      </c>
      <c r="G10" s="330">
        <f t="shared" si="0"/>
        <v>956.07215602795713</v>
      </c>
      <c r="H10" s="330">
        <f>'Valuation output'!J7</f>
        <v>3776.9583193579701</v>
      </c>
    </row>
    <row r="11" spans="1:8" s="329" customFormat="1">
      <c r="A11" s="329">
        <v>9</v>
      </c>
      <c r="B11" s="330">
        <f>'Valuation output'!K3</f>
        <v>16161.721396617813</v>
      </c>
      <c r="C11" s="331">
        <f t="shared" si="2"/>
        <v>2.4399999999999977E-2</v>
      </c>
      <c r="D11" s="331">
        <f>'Valuation output'!K4</f>
        <v>0.3</v>
      </c>
      <c r="E11" s="330">
        <f t="shared" si="1"/>
        <v>4848.516418985344</v>
      </c>
      <c r="F11" s="330">
        <f>'Valuation output'!K10</f>
        <v>0</v>
      </c>
      <c r="G11" s="330">
        <f t="shared" si="0"/>
        <v>1144.249874880541</v>
      </c>
      <c r="H11" s="330">
        <f>'Valuation output'!K7</f>
        <v>3704.266544104803</v>
      </c>
    </row>
    <row r="12" spans="1:8" s="329" customFormat="1">
      <c r="A12" s="329">
        <v>10</v>
      </c>
      <c r="B12" s="330">
        <f>'Valuation output'!L3</f>
        <v>16452.632381756936</v>
      </c>
      <c r="C12" s="331">
        <f t="shared" si="2"/>
        <v>1.8000000000000016E-2</v>
      </c>
      <c r="D12" s="331">
        <f>'Valuation output'!L4</f>
        <v>0.3</v>
      </c>
      <c r="E12" s="330">
        <f t="shared" si="1"/>
        <v>4935.7897145270808</v>
      </c>
      <c r="F12" s="330">
        <f>'Valuation output'!L10</f>
        <v>0</v>
      </c>
      <c r="G12" s="330">
        <f t="shared" si="0"/>
        <v>1332.6632229223119</v>
      </c>
      <c r="H12" s="330">
        <f>'Valuation output'!L7</f>
        <v>3603.1264916047689</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3014.5721121433326</v>
      </c>
      <c r="G15" s="335">
        <f>'Valuation output'!B39</f>
        <v>26485.229740470379</v>
      </c>
      <c r="H15" s="336">
        <f>B15/G15</f>
        <v>0.11382087834174828</v>
      </c>
    </row>
    <row r="16" spans="1:8" s="329" customFormat="1">
      <c r="A16" s="329">
        <f t="shared" ref="A16:A24" si="3">A3</f>
        <v>1</v>
      </c>
      <c r="B16" s="330">
        <f t="shared" ref="B16:B25" si="4">H3</f>
        <v>3160.4198742003996</v>
      </c>
      <c r="C16" s="330">
        <f>B3-B2</f>
        <v>553.95000000000073</v>
      </c>
      <c r="D16" s="334">
        <f>'Valuation output'!C38</f>
        <v>0.41830862365792099</v>
      </c>
      <c r="E16" s="330">
        <f>C16/D16</f>
        <v>1324.2614870235207</v>
      </c>
      <c r="F16" s="330">
        <f>B16-E16</f>
        <v>1836.1583871768789</v>
      </c>
      <c r="G16" s="330">
        <f>G15+E16</f>
        <v>27809.491227493898</v>
      </c>
      <c r="H16" s="336">
        <f t="shared" ref="H16:H25" si="5">B16/G16</f>
        <v>0.11364536835092637</v>
      </c>
    </row>
    <row r="17" spans="1:8" s="329" customFormat="1">
      <c r="A17" s="329">
        <f t="shared" si="3"/>
        <v>2</v>
      </c>
      <c r="B17" s="330">
        <f t="shared" si="4"/>
        <v>3313.3159821828149</v>
      </c>
      <c r="C17" s="330">
        <f t="shared" ref="C17:C25" si="6">B4-B3</f>
        <v>581.64750000000095</v>
      </c>
      <c r="D17" s="334">
        <f>'Valuation output'!D38</f>
        <v>0.41830862365792099</v>
      </c>
      <c r="E17" s="330">
        <f t="shared" ref="E17:E25" si="7">C17/D17</f>
        <v>1390.4745613746973</v>
      </c>
      <c r="F17" s="330">
        <f t="shared" ref="F17:F25" si="8">B17-E17</f>
        <v>1922.8414208081176</v>
      </c>
      <c r="G17" s="330">
        <f t="shared" ref="G17:G25" si="9">G16+E17</f>
        <v>29199.965788868594</v>
      </c>
      <c r="H17" s="336">
        <f t="shared" si="5"/>
        <v>0.11346985836010445</v>
      </c>
    </row>
    <row r="18" spans="1:8" s="329" customFormat="1">
      <c r="A18" s="329">
        <f t="shared" si="3"/>
        <v>3</v>
      </c>
      <c r="B18" s="330">
        <f t="shared" si="4"/>
        <v>3473.6006512779709</v>
      </c>
      <c r="C18" s="330">
        <f t="shared" si="6"/>
        <v>610.7298750000009</v>
      </c>
      <c r="D18" s="334">
        <f>'Valuation output'!E38</f>
        <v>0.41830862365792099</v>
      </c>
      <c r="E18" s="330">
        <f t="shared" si="7"/>
        <v>1459.9982894434318</v>
      </c>
      <c r="F18" s="330">
        <f t="shared" si="8"/>
        <v>2013.6023618345391</v>
      </c>
      <c r="G18" s="330">
        <f t="shared" si="9"/>
        <v>30659.964078312027</v>
      </c>
      <c r="H18" s="336">
        <f t="shared" si="5"/>
        <v>0.11329434836928252</v>
      </c>
    </row>
    <row r="19" spans="1:8" s="329" customFormat="1">
      <c r="A19" s="329">
        <f t="shared" si="3"/>
        <v>4</v>
      </c>
      <c r="B19" s="330">
        <f t="shared" si="4"/>
        <v>3641.6304973271854</v>
      </c>
      <c r="C19" s="330">
        <f t="shared" si="6"/>
        <v>641.26636875000077</v>
      </c>
      <c r="D19" s="334">
        <f>'Valuation output'!F38</f>
        <v>0.41830862365792099</v>
      </c>
      <c r="E19" s="330">
        <f t="shared" si="7"/>
        <v>1532.998203915603</v>
      </c>
      <c r="F19" s="330">
        <f t="shared" si="8"/>
        <v>2108.6322934115824</v>
      </c>
      <c r="G19" s="330">
        <f t="shared" si="9"/>
        <v>32192.962282227629</v>
      </c>
      <c r="H19" s="336">
        <f t="shared" si="5"/>
        <v>0.11311883837846061</v>
      </c>
    </row>
    <row r="20" spans="1:8" s="329" customFormat="1">
      <c r="A20" s="329">
        <f t="shared" si="3"/>
        <v>5</v>
      </c>
      <c r="B20" s="330">
        <f t="shared" si="4"/>
        <v>3817.7793263531257</v>
      </c>
      <c r="C20" s="330">
        <f t="shared" si="6"/>
        <v>673.32968718750089</v>
      </c>
      <c r="D20" s="334">
        <f>'Valuation output'!G38</f>
        <v>0.41830862365792099</v>
      </c>
      <c r="E20" s="330">
        <f t="shared" si="7"/>
        <v>1609.6481141113834</v>
      </c>
      <c r="F20" s="330">
        <f t="shared" si="8"/>
        <v>2208.1312122417421</v>
      </c>
      <c r="G20" s="330">
        <f t="shared" si="9"/>
        <v>33802.610396339012</v>
      </c>
      <c r="H20" s="336">
        <f t="shared" si="5"/>
        <v>0.11294332838763867</v>
      </c>
    </row>
    <row r="21" spans="1:8" s="329" customFormat="1">
      <c r="A21" s="329">
        <f t="shared" si="3"/>
        <v>6</v>
      </c>
      <c r="B21" s="330">
        <f t="shared" si="4"/>
        <v>3833.7189792383533</v>
      </c>
      <c r="C21" s="330">
        <f t="shared" si="6"/>
        <v>616.50066158887603</v>
      </c>
      <c r="D21" s="334">
        <f>'Valuation output'!H38</f>
        <v>0.41830862365792099</v>
      </c>
      <c r="E21" s="330">
        <f t="shared" si="7"/>
        <v>1473.7938132803831</v>
      </c>
      <c r="F21" s="330">
        <f t="shared" si="8"/>
        <v>2359.9251659579704</v>
      </c>
      <c r="G21" s="330">
        <f t="shared" si="9"/>
        <v>35276.404209619395</v>
      </c>
      <c r="H21" s="336">
        <f t="shared" si="5"/>
        <v>0.10867658042632787</v>
      </c>
    </row>
    <row r="22" spans="1:8" s="329" customFormat="1">
      <c r="A22" s="329">
        <f t="shared" si="3"/>
        <v>7</v>
      </c>
      <c r="B22" s="330">
        <f t="shared" si="4"/>
        <v>3820.2186219645823</v>
      </c>
      <c r="C22" s="330">
        <f t="shared" si="6"/>
        <v>548.93897624197962</v>
      </c>
      <c r="D22" s="334">
        <f>'Valuation output'!I38</f>
        <v>0.41830862365792099</v>
      </c>
      <c r="E22" s="330">
        <f t="shared" si="7"/>
        <v>1312.2822365978375</v>
      </c>
      <c r="F22" s="330">
        <f t="shared" si="8"/>
        <v>2507.9363853667446</v>
      </c>
      <c r="G22" s="330">
        <f t="shared" si="9"/>
        <v>36588.686446217231</v>
      </c>
      <c r="H22" s="336">
        <f t="shared" si="5"/>
        <v>0.10440983246501709</v>
      </c>
    </row>
    <row r="23" spans="1:8" s="329" customFormat="1">
      <c r="A23" s="329">
        <f t="shared" si="3"/>
        <v>8</v>
      </c>
      <c r="B23" s="330">
        <f t="shared" si="4"/>
        <v>3776.9583193579701</v>
      </c>
      <c r="C23" s="330">
        <f t="shared" si="6"/>
        <v>471.40518251806498</v>
      </c>
      <c r="D23" s="334">
        <f>'Valuation output'!J38</f>
        <v>0.41830862365792099</v>
      </c>
      <c r="E23" s="330">
        <f t="shared" si="7"/>
        <v>1126.9315425434897</v>
      </c>
      <c r="F23" s="330">
        <f t="shared" si="8"/>
        <v>2650.0267768144804</v>
      </c>
      <c r="G23" s="330">
        <f t="shared" si="9"/>
        <v>37715.617988760721</v>
      </c>
      <c r="H23" s="336">
        <f t="shared" si="5"/>
        <v>0.10014308450370629</v>
      </c>
    </row>
    <row r="24" spans="1:8" s="329" customFormat="1">
      <c r="A24" s="329">
        <f t="shared" si="3"/>
        <v>9</v>
      </c>
      <c r="B24" s="330">
        <f t="shared" si="4"/>
        <v>3704.266544104803</v>
      </c>
      <c r="C24" s="330">
        <f t="shared" si="6"/>
        <v>384.95314533138844</v>
      </c>
      <c r="D24" s="334">
        <f>'Valuation output'!K38</f>
        <v>0.41830862365792099</v>
      </c>
      <c r="E24" s="330">
        <f t="shared" si="7"/>
        <v>920.2610789257609</v>
      </c>
      <c r="F24" s="330">
        <f t="shared" si="8"/>
        <v>2784.0054651790419</v>
      </c>
      <c r="G24" s="330">
        <f t="shared" si="9"/>
        <v>38635.879067686481</v>
      </c>
      <c r="H24" s="336">
        <f t="shared" si="5"/>
        <v>9.587633654239551E-2</v>
      </c>
    </row>
    <row r="25" spans="1:8" s="329" customFormat="1">
      <c r="A25" s="329">
        <f>A12</f>
        <v>10</v>
      </c>
      <c r="B25" s="330">
        <f t="shared" si="4"/>
        <v>3603.1264916047689</v>
      </c>
      <c r="C25" s="330">
        <f t="shared" si="6"/>
        <v>290.9109851391222</v>
      </c>
      <c r="D25" s="334">
        <f>'Valuation output'!L38</f>
        <v>0.41830862365792099</v>
      </c>
      <c r="E25" s="330">
        <f t="shared" si="7"/>
        <v>695.44582321836049</v>
      </c>
      <c r="F25" s="330">
        <f t="shared" si="8"/>
        <v>2907.6806683864083</v>
      </c>
      <c r="G25" s="330">
        <f t="shared" si="9"/>
        <v>39331.324890904842</v>
      </c>
      <c r="H25" s="336">
        <f t="shared" si="5"/>
        <v>9.1609588581084714E-2</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3.6822428011444919E-2</v>
      </c>
    </row>
    <row r="29" spans="1:8">
      <c r="A29">
        <f t="shared" ref="A29:A37" si="10">A17</f>
        <v>2</v>
      </c>
      <c r="H29" s="324">
        <f>'Valuation output'!D12</f>
        <v>3.6822428011444919E-2</v>
      </c>
    </row>
    <row r="30" spans="1:8">
      <c r="A30">
        <f t="shared" si="10"/>
        <v>3</v>
      </c>
      <c r="H30" s="324">
        <f>'Valuation output'!E12</f>
        <v>3.6822428011444919E-2</v>
      </c>
    </row>
    <row r="31" spans="1:8">
      <c r="A31">
        <f t="shared" si="10"/>
        <v>4</v>
      </c>
      <c r="H31" s="324">
        <f>'Valuation output'!F12</f>
        <v>3.6822428011444919E-2</v>
      </c>
    </row>
    <row r="32" spans="1:8">
      <c r="A32">
        <f t="shared" si="10"/>
        <v>5</v>
      </c>
      <c r="H32" s="324">
        <f>'Valuation output'!G12</f>
        <v>3.6822428011444919E-2</v>
      </c>
    </row>
    <row r="33" spans="1:8">
      <c r="A33">
        <f t="shared" si="10"/>
        <v>6</v>
      </c>
      <c r="H33" s="324">
        <f>'Valuation output'!H12</f>
        <v>4.2057942409155932E-2</v>
      </c>
    </row>
    <row r="34" spans="1:8">
      <c r="A34">
        <f t="shared" si="10"/>
        <v>7</v>
      </c>
      <c r="H34" s="324">
        <f>'Valuation output'!I12</f>
        <v>4.7293456806866946E-2</v>
      </c>
    </row>
    <row r="35" spans="1:8">
      <c r="A35">
        <f t="shared" si="10"/>
        <v>8</v>
      </c>
      <c r="H35" s="324">
        <f>'Valuation output'!J12</f>
        <v>5.2528971204577959E-2</v>
      </c>
    </row>
    <row r="36" spans="1:8">
      <c r="A36">
        <f t="shared" si="10"/>
        <v>9</v>
      </c>
      <c r="H36" s="324">
        <f>'Valuation output'!K12</f>
        <v>5.7764485602288973E-2</v>
      </c>
    </row>
    <row r="37" spans="1:8">
      <c r="A37">
        <f t="shared" si="10"/>
        <v>10</v>
      </c>
      <c r="H37" s="324">
        <f>'Valuation output'!L12</f>
        <v>6.2999999999999987E-2</v>
      </c>
    </row>
    <row r="38" spans="1:8" ht="13" thickBot="1"/>
    <row r="39" spans="1:8" ht="31" thickBot="1">
      <c r="A39" s="328" t="s">
        <v>115</v>
      </c>
      <c r="B39" s="328" t="s">
        <v>668</v>
      </c>
      <c r="C39" s="328" t="s">
        <v>671</v>
      </c>
      <c r="D39" s="328" t="s">
        <v>16</v>
      </c>
      <c r="E39" s="328" t="s">
        <v>672</v>
      </c>
      <c r="F39" s="328" t="s">
        <v>125</v>
      </c>
    </row>
    <row r="40" spans="1:8">
      <c r="A40">
        <f>A28</f>
        <v>1</v>
      </c>
      <c r="B40" s="337">
        <f>H28</f>
        <v>3.6822428011444919E-2</v>
      </c>
      <c r="C40" s="338">
        <f>(1+'Summary Sheet'!B40)</f>
        <v>1.0368224280114449</v>
      </c>
      <c r="D40" s="332">
        <f>F16</f>
        <v>1836.1583871768789</v>
      </c>
      <c r="F40" s="332">
        <f>D40/C40</f>
        <v>1770.9477896793824</v>
      </c>
    </row>
    <row r="41" spans="1:8">
      <c r="A41">
        <f t="shared" ref="A41:A49" si="11">A29</f>
        <v>2</v>
      </c>
      <c r="B41" s="337">
        <f t="shared" ref="B41:B49" si="12">H29</f>
        <v>3.6822428011444919E-2</v>
      </c>
      <c r="C41" s="338">
        <f>C40*(1+B41)</f>
        <v>1.0750007472275478</v>
      </c>
      <c r="D41" s="332">
        <f t="shared" ref="D41:D49" si="13">F17</f>
        <v>1922.8414208081176</v>
      </c>
      <c r="F41" s="332">
        <f t="shared" ref="F41:F48" si="14">D41/C41</f>
        <v>1788.6884504658913</v>
      </c>
    </row>
    <row r="42" spans="1:8">
      <c r="A42">
        <f t="shared" si="11"/>
        <v>3</v>
      </c>
      <c r="B42" s="337">
        <f t="shared" si="12"/>
        <v>3.6822428011444919E-2</v>
      </c>
      <c r="C42" s="338">
        <f t="shared" ref="C42:C49" si="15">C41*(1+B42)</f>
        <v>1.1145848848545836</v>
      </c>
      <c r="D42" s="332">
        <f t="shared" si="13"/>
        <v>2013.6023618345391</v>
      </c>
      <c r="F42" s="332">
        <f t="shared" si="14"/>
        <v>1806.5939967391962</v>
      </c>
    </row>
    <row r="43" spans="1:8">
      <c r="A43">
        <f t="shared" si="11"/>
        <v>4</v>
      </c>
      <c r="B43" s="337">
        <f t="shared" si="12"/>
        <v>3.6822428011444919E-2</v>
      </c>
      <c r="C43" s="338">
        <f t="shared" si="15"/>
        <v>1.155626606539786</v>
      </c>
      <c r="D43" s="332">
        <f t="shared" si="13"/>
        <v>2108.6322934115824</v>
      </c>
      <c r="F43" s="332">
        <f t="shared" si="14"/>
        <v>1824.6657540408457</v>
      </c>
    </row>
    <row r="44" spans="1:8">
      <c r="A44">
        <f t="shared" si="11"/>
        <v>5</v>
      </c>
      <c r="B44" s="337">
        <f t="shared" si="12"/>
        <v>3.6822428011444919E-2</v>
      </c>
      <c r="C44" s="338">
        <f t="shared" si="15"/>
        <v>1.1981795840672076</v>
      </c>
      <c r="D44" s="332">
        <f t="shared" si="13"/>
        <v>2208.1312122417421</v>
      </c>
      <c r="F44" s="332">
        <f t="shared" si="14"/>
        <v>1842.9050549720307</v>
      </c>
    </row>
    <row r="45" spans="1:8">
      <c r="A45">
        <f t="shared" si="11"/>
        <v>6</v>
      </c>
      <c r="B45" s="337">
        <f t="shared" si="12"/>
        <v>4.2057942409155932E-2</v>
      </c>
      <c r="C45" s="338">
        <f t="shared" si="15"/>
        <v>1.2485725520097326</v>
      </c>
      <c r="D45" s="332">
        <f t="shared" si="13"/>
        <v>2359.9251659579704</v>
      </c>
      <c r="F45" s="332">
        <f t="shared" si="14"/>
        <v>1890.0985466638504</v>
      </c>
    </row>
    <row r="46" spans="1:8">
      <c r="A46">
        <f t="shared" si="11"/>
        <v>7</v>
      </c>
      <c r="B46" s="337">
        <f t="shared" si="12"/>
        <v>4.7293456806866946E-2</v>
      </c>
      <c r="C46" s="338">
        <f t="shared" si="15"/>
        <v>1.3076218640684447</v>
      </c>
      <c r="D46" s="332">
        <f t="shared" si="13"/>
        <v>2507.9363853667446</v>
      </c>
      <c r="F46" s="332">
        <f t="shared" si="14"/>
        <v>1917.937023141938</v>
      </c>
    </row>
    <row r="47" spans="1:8">
      <c r="A47">
        <f t="shared" si="11"/>
        <v>8</v>
      </c>
      <c r="B47" s="337">
        <f t="shared" si="12"/>
        <v>5.2528971204577959E-2</v>
      </c>
      <c r="C47" s="338">
        <f t="shared" si="15"/>
        <v>1.3763098953125728</v>
      </c>
      <c r="D47" s="332">
        <f t="shared" si="13"/>
        <v>2650.0267768144804</v>
      </c>
      <c r="F47" s="332">
        <f t="shared" si="14"/>
        <v>1925.4579116519647</v>
      </c>
    </row>
    <row r="48" spans="1:8">
      <c r="A48">
        <f t="shared" si="11"/>
        <v>9</v>
      </c>
      <c r="B48" s="337">
        <f t="shared" si="12"/>
        <v>5.7764485602288973E-2</v>
      </c>
      <c r="C48" s="338">
        <f t="shared" si="15"/>
        <v>1.4558117284446437</v>
      </c>
      <c r="D48" s="332">
        <f t="shared" si="13"/>
        <v>2784.0054651790419</v>
      </c>
      <c r="F48" s="332">
        <f t="shared" si="14"/>
        <v>1912.3389451968562</v>
      </c>
    </row>
    <row r="49" spans="1:6">
      <c r="A49">
        <f t="shared" si="11"/>
        <v>10</v>
      </c>
      <c r="B49" s="337">
        <f t="shared" si="12"/>
        <v>6.2999999999999987E-2</v>
      </c>
      <c r="C49" s="338">
        <f t="shared" si="15"/>
        <v>1.5475278673366561</v>
      </c>
      <c r="D49" s="332">
        <f t="shared" si="13"/>
        <v>2907.6806683864083</v>
      </c>
      <c r="E49" s="332">
        <f>'Valuation output'!B18</f>
        <v>58221.948705613577</v>
      </c>
      <c r="F49" s="332">
        <f>(D49+E49)/C49</f>
        <v>39501.472422080507</v>
      </c>
    </row>
    <row r="50" spans="1:6">
      <c r="A50" t="s">
        <v>44</v>
      </c>
      <c r="F50" s="332">
        <f>SUM(F40:F49)</f>
        <v>56181.105894632463</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7.9</v>
      </c>
    </row>
    <row r="4" spans="1:7" ht="14">
      <c r="A4" s="8" t="s">
        <v>62</v>
      </c>
      <c r="B4" s="8"/>
      <c r="D4" s="12">
        <f>'Input sheet'!B35</f>
        <v>5.5</v>
      </c>
    </row>
    <row r="5" spans="1:7" ht="14">
      <c r="A5" s="8" t="s">
        <v>63</v>
      </c>
      <c r="B5" s="8"/>
      <c r="D5" s="10">
        <f>'Input sheet'!B36</f>
        <v>0.3</v>
      </c>
      <c r="E5" s="8" t="s">
        <v>64</v>
      </c>
    </row>
    <row r="6" spans="1:7" ht="14">
      <c r="A6" s="8" t="s">
        <v>65</v>
      </c>
      <c r="B6" s="8"/>
      <c r="D6" s="11">
        <v>0</v>
      </c>
    </row>
    <row r="7" spans="1:7" ht="14">
      <c r="A7" s="8" t="s">
        <v>66</v>
      </c>
      <c r="B7" s="8"/>
      <c r="D7" s="11">
        <f>'Input sheet'!B29</f>
        <v>1.7999999999999999E-2</v>
      </c>
    </row>
    <row r="8" spans="1:7" ht="14">
      <c r="A8" s="8" t="s">
        <v>67</v>
      </c>
      <c r="B8" s="8"/>
      <c r="D8" s="12">
        <f>'Input sheet'!B33</f>
        <v>21</v>
      </c>
    </row>
    <row r="9" spans="1:7" ht="14">
      <c r="A9" s="8" t="s">
        <v>68</v>
      </c>
      <c r="B9" s="8"/>
      <c r="D9" s="13">
        <f>'Input sheet'!B19</f>
        <v>523.9</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21</v>
      </c>
      <c r="G13" s="20"/>
    </row>
    <row r="14" spans="1:7" s="8" customFormat="1" ht="14">
      <c r="A14" s="8" t="s">
        <v>73</v>
      </c>
      <c r="C14" s="18">
        <f>D3</f>
        <v>7.9</v>
      </c>
      <c r="D14" s="8" t="s">
        <v>74</v>
      </c>
      <c r="F14" s="21">
        <f>D9</f>
        <v>523.9</v>
      </c>
      <c r="G14" s="20"/>
    </row>
    <row r="15" spans="1:7" s="8" customFormat="1" ht="14">
      <c r="A15" s="8" t="s">
        <v>75</v>
      </c>
      <c r="C15" s="18">
        <f ca="1">(C13*F14+C26*F13)/(F14+F13)</f>
        <v>127.56318812606338</v>
      </c>
      <c r="D15" s="8" t="s">
        <v>76</v>
      </c>
      <c r="F15" s="22">
        <f>D7</f>
        <v>1.7999999999999999E-2</v>
      </c>
    </row>
    <row r="16" spans="1:7" s="8" customFormat="1" ht="14">
      <c r="A16" s="8" t="s">
        <v>77</v>
      </c>
      <c r="C16" s="18">
        <f>C14</f>
        <v>7.9</v>
      </c>
      <c r="D16" s="8" t="s">
        <v>78</v>
      </c>
      <c r="F16" s="23">
        <f>D5^2</f>
        <v>0.09</v>
      </c>
    </row>
    <row r="17" spans="1:7" s="8" customFormat="1" ht="14">
      <c r="A17" s="8" t="s">
        <v>79</v>
      </c>
      <c r="C17" s="18">
        <f>D4</f>
        <v>5.5</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4.446299625576815</v>
      </c>
    </row>
    <row r="21" spans="1:7" s="8" customFormat="1" ht="14">
      <c r="A21" s="8" t="s">
        <v>83</v>
      </c>
      <c r="B21" s="19">
        <f ca="1">NORMSDIST(B20)</f>
        <v>0.99999563189613239</v>
      </c>
    </row>
    <row r="22" spans="1:7" s="8" customFormat="1" ht="14"/>
    <row r="23" spans="1:7" s="8" customFormat="1" ht="15.75" customHeight="1">
      <c r="A23" s="8" t="s">
        <v>84</v>
      </c>
      <c r="B23" s="19">
        <f ca="1">B20-((F16^0.5)*(C17^(0.5)))</f>
        <v>3.7427372616033008</v>
      </c>
    </row>
    <row r="24" spans="1:7" s="8" customFormat="1" ht="14">
      <c r="A24" s="8" t="s">
        <v>85</v>
      </c>
      <c r="B24" s="19">
        <f ca="1">NORMSDIST(B23)</f>
        <v>0.99990898673664663</v>
      </c>
    </row>
    <row r="25" spans="1:7" ht="15" thickBot="1">
      <c r="A25" s="8"/>
      <c r="B25" s="8"/>
    </row>
    <row r="26" spans="1:7" s="8" customFormat="1" ht="15" thickBot="1">
      <c r="A26" s="8" t="s">
        <v>86</v>
      </c>
      <c r="C26" s="25">
        <f ca="1">((EXP((0-F17)*C17))*C15*B21-C16*(EXP((0-F15)*C17))*B24)</f>
        <v>120.4079147567589</v>
      </c>
      <c r="G26" s="26"/>
    </row>
    <row r="27" spans="1:7" s="8" customFormat="1" ht="15" thickBot="1">
      <c r="A27" s="8" t="s">
        <v>87</v>
      </c>
      <c r="D27" s="27">
        <f ca="1">C26*D8</f>
        <v>2528.566209891937</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H31" sqref="H31"/>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523.9</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28.32</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0.50865466473151821</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3.1450614344223263E-2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14757</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678</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459</v>
      </c>
      <c r="G23" s="19" t="str">
        <f>'Country equity risk premiums'!A196</f>
        <v>Latin America &amp; Caribbean</v>
      </c>
      <c r="H23" s="230"/>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3.7999999999999999E-2</v>
      </c>
      <c r="G25" s="19" t="str">
        <f>'Country equity risk premiums'!A198</f>
        <v>US</v>
      </c>
      <c r="H25" s="230">
        <v>6350</v>
      </c>
      <c r="I25" s="24">
        <f>'Country equity risk premiums'!B198</f>
        <v>5.1999999999999998E-2</v>
      </c>
      <c r="J25" s="123">
        <f t="shared" si="2"/>
        <v>0.60481950661967809</v>
      </c>
      <c r="K25" s="165">
        <f t="shared" si="3"/>
        <v>3.1450614344223263E-2</v>
      </c>
    </row>
    <row r="26" spans="1:17" s="8" customFormat="1" ht="15" customHeight="1">
      <c r="A26" s="8" t="s">
        <v>185</v>
      </c>
      <c r="B26" s="236">
        <f>'Input sheet'!B22</f>
        <v>0.27</v>
      </c>
      <c r="G26" s="19" t="str">
        <f>'Country equity risk premiums'!A199</f>
        <v>Europe</v>
      </c>
      <c r="H26" s="230"/>
      <c r="I26" s="24">
        <f>'Country equity risk premiums'!B199</f>
        <v>6.3499442653654425E-2</v>
      </c>
      <c r="J26" s="123">
        <f t="shared" si="2"/>
        <v>0</v>
      </c>
      <c r="K26" s="165">
        <f t="shared" si="3"/>
        <v>0</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c r="I28" s="24">
        <f>'Country equity risk premiums'!B201</f>
        <v>6.6746172674804469E-2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t="s">
        <v>743</v>
      </c>
      <c r="H30" s="230">
        <v>4149</v>
      </c>
      <c r="I30" s="322"/>
      <c r="J30" s="123">
        <f>H30/$H$32</f>
        <v>0.39518049338032196</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10499</v>
      </c>
      <c r="I32" s="125"/>
      <c r="J32" s="123">
        <f>SUM(J21:J31)</f>
        <v>1</v>
      </c>
      <c r="K32" s="166">
        <f>SUM(K21:K31)</f>
        <v>3.1450614344223263E-2</v>
      </c>
    </row>
    <row r="33" spans="1:11" s="8" customFormat="1" ht="15" customHeight="1">
      <c r="A33" s="8" t="s">
        <v>190</v>
      </c>
      <c r="B33" s="121">
        <f>IF('Input sheet'!B14="Yes",'Operating lease converter'!F33,0)</f>
        <v>962.22974047037951</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15184.560596784075</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962.22974047037951</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0.91275615344428163</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14836.848</v>
      </c>
      <c r="C48" s="122">
        <f>C41+C42+C43</f>
        <v>16146.790337254453</v>
      </c>
      <c r="D48" s="122">
        <f>B36*B37</f>
        <v>0</v>
      </c>
      <c r="E48" s="121">
        <f>SUM(B48:D48)</f>
        <v>30983.638337254451</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0.47886074057869138</v>
      </c>
      <c r="C49" s="123">
        <f>C48/$E$48</f>
        <v>0.52113925942130868</v>
      </c>
      <c r="D49" s="123">
        <f>D48/$E$48</f>
        <v>0</v>
      </c>
      <c r="E49" s="124">
        <f>SUM(B49:D49)</f>
        <v>1</v>
      </c>
      <c r="F49" s="8"/>
    </row>
    <row r="50" spans="1:11" ht="20" thickBot="1">
      <c r="A50" s="19" t="s">
        <v>203</v>
      </c>
      <c r="B50" s="125">
        <f>B12+C45*B15</f>
        <v>4.6706741772292767E-2</v>
      </c>
      <c r="C50" s="123">
        <f>B25*(1-B26)</f>
        <v>2.7739999999999997E-2</v>
      </c>
      <c r="D50" s="126">
        <f>B38/B37</f>
        <v>7.1428571428571425E-2</v>
      </c>
      <c r="E50" s="127">
        <f>B49*B50+C49*C50+D49*D50</f>
        <v>3.6822428011444919E-2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782</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730</v>
      </c>
      <c r="C11" s="185" t="s">
        <v>408</v>
      </c>
      <c r="D11" s="185"/>
      <c r="E11" s="185"/>
      <c r="F11" s="185"/>
      <c r="G11" s="185"/>
      <c r="H11" s="185"/>
      <c r="I11" s="185"/>
    </row>
    <row r="12" spans="1:10" s="186" customFormat="1" ht="14">
      <c r="A12" s="187">
        <f>IF((0-A11)&lt;$F$6,IF(A11&gt;-1,,A11-1),)</f>
        <v>-2</v>
      </c>
      <c r="B12" s="188">
        <v>862</v>
      </c>
      <c r="C12" s="185" t="s">
        <v>409</v>
      </c>
      <c r="D12" s="185"/>
      <c r="E12" s="185"/>
      <c r="F12" s="185"/>
      <c r="G12" s="185"/>
      <c r="H12" s="185"/>
      <c r="I12" s="185"/>
    </row>
    <row r="13" spans="1:10" s="186" customFormat="1" ht="14">
      <c r="A13" s="187">
        <f t="shared" ref="A13:A20" si="0">IF((0-A12)&lt;$F$6,IF(A12&gt;-1,,A12-1),)</f>
        <v>-3</v>
      </c>
      <c r="B13" s="188">
        <v>757</v>
      </c>
      <c r="C13" s="185"/>
      <c r="D13" s="185"/>
      <c r="E13" s="185"/>
      <c r="F13" s="185"/>
      <c r="G13" s="185"/>
      <c r="H13" s="185"/>
      <c r="I13" s="185"/>
    </row>
    <row r="14" spans="1:10" s="186" customFormat="1" ht="14">
      <c r="A14" s="187">
        <f t="shared" si="0"/>
        <v>-4</v>
      </c>
      <c r="B14" s="188">
        <v>579</v>
      </c>
      <c r="C14" s="185"/>
      <c r="D14" s="185"/>
      <c r="E14" s="185"/>
      <c r="F14" s="185"/>
      <c r="G14" s="185"/>
      <c r="H14" s="185"/>
      <c r="I14" s="185"/>
    </row>
    <row r="15" spans="1:10" s="186" customFormat="1" ht="14">
      <c r="A15" s="187">
        <f t="shared" si="0"/>
        <v>-5</v>
      </c>
      <c r="B15" s="188">
        <v>514</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782</v>
      </c>
      <c r="C24" s="184">
        <f>1</f>
        <v>1</v>
      </c>
      <c r="D24" s="184">
        <f>B24*C24</f>
        <v>782</v>
      </c>
      <c r="E24" s="185"/>
      <c r="F24" s="185"/>
      <c r="G24" s="185"/>
      <c r="H24" s="185"/>
      <c r="I24" s="185"/>
    </row>
    <row r="25" spans="1:9" s="186" customFormat="1" ht="14">
      <c r="A25" s="187">
        <f>A11</f>
        <v>-1</v>
      </c>
      <c r="B25" s="184">
        <f>B11</f>
        <v>730</v>
      </c>
      <c r="C25" s="184">
        <f>IF(A25&lt;0,($F$6+A25)/$F$6,0)</f>
        <v>0.8</v>
      </c>
      <c r="D25" s="184">
        <f>B25*C25</f>
        <v>584</v>
      </c>
      <c r="E25" s="192">
        <f t="shared" ref="E25:E34" si="1">IF(A25&lt;0,B25/$F$6,0)</f>
        <v>146</v>
      </c>
      <c r="F25" s="185"/>
      <c r="G25" s="185"/>
      <c r="H25" s="185"/>
      <c r="I25" s="185"/>
    </row>
    <row r="26" spans="1:9" s="186" customFormat="1" ht="14">
      <c r="A26" s="187">
        <f t="shared" ref="A26:B34" si="2">A12</f>
        <v>-2</v>
      </c>
      <c r="B26" s="184">
        <f t="shared" si="2"/>
        <v>862</v>
      </c>
      <c r="C26" s="184">
        <f>IF(A26&lt;0,($F$6+A26)/$F$6,0)</f>
        <v>0.6</v>
      </c>
      <c r="D26" s="184">
        <f t="shared" ref="D26:D34" si="3">B26*C26</f>
        <v>517.19999999999993</v>
      </c>
      <c r="E26" s="192">
        <f t="shared" si="1"/>
        <v>172.4</v>
      </c>
      <c r="F26" s="185"/>
      <c r="G26" s="185"/>
      <c r="H26" s="185"/>
      <c r="I26" s="185"/>
    </row>
    <row r="27" spans="1:9" s="186" customFormat="1" ht="14">
      <c r="A27" s="187">
        <f t="shared" si="2"/>
        <v>-3</v>
      </c>
      <c r="B27" s="184">
        <f t="shared" si="2"/>
        <v>757</v>
      </c>
      <c r="C27" s="184">
        <f>IF(A27&lt;0,($F$6+A27)/$F$6,0)</f>
        <v>0.4</v>
      </c>
      <c r="D27" s="184">
        <f t="shared" si="3"/>
        <v>302.8</v>
      </c>
      <c r="E27" s="192">
        <f t="shared" si="1"/>
        <v>151.4</v>
      </c>
      <c r="F27" s="185"/>
      <c r="G27" s="185"/>
      <c r="H27" s="185"/>
      <c r="I27" s="185"/>
    </row>
    <row r="28" spans="1:9" s="186" customFormat="1" ht="14">
      <c r="A28" s="187">
        <f t="shared" si="2"/>
        <v>-4</v>
      </c>
      <c r="B28" s="184">
        <f t="shared" si="2"/>
        <v>579</v>
      </c>
      <c r="C28" s="184">
        <f t="shared" ref="C28:C34" si="4">IF(A28&lt;0,($F$6+A28)/$F$6,0)</f>
        <v>0.2</v>
      </c>
      <c r="D28" s="184">
        <f t="shared" si="3"/>
        <v>115.80000000000001</v>
      </c>
      <c r="E28" s="192">
        <f t="shared" si="1"/>
        <v>115.8</v>
      </c>
      <c r="F28" s="185"/>
      <c r="G28" s="185"/>
      <c r="H28" s="185"/>
      <c r="I28" s="185"/>
    </row>
    <row r="29" spans="1:9" s="186" customFormat="1" ht="14">
      <c r="A29" s="187">
        <f t="shared" si="2"/>
        <v>-5</v>
      </c>
      <c r="B29" s="184">
        <f t="shared" si="2"/>
        <v>514</v>
      </c>
      <c r="C29" s="184">
        <f t="shared" si="4"/>
        <v>0</v>
      </c>
      <c r="D29" s="184">
        <f t="shared" si="3"/>
        <v>0</v>
      </c>
      <c r="E29" s="192">
        <f t="shared" si="1"/>
        <v>102.8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2301.8000000000002</v>
      </c>
      <c r="E35" s="25">
        <f>SUM(E25:E34)</f>
        <v>688.39999999999986</v>
      </c>
    </row>
    <row r="36" spans="1:9" ht="13" thickBot="1"/>
    <row r="37" spans="1:9" s="8" customFormat="1" ht="15" thickBot="1">
      <c r="A37" s="8" t="s">
        <v>415</v>
      </c>
      <c r="D37" s="195">
        <f>E35</f>
        <v>688.39999999999986</v>
      </c>
    </row>
    <row r="38" spans="1:9" s="8" customFormat="1" ht="15" thickBot="1"/>
    <row r="39" spans="1:9" s="8" customFormat="1" ht="14">
      <c r="A39" s="8" t="s">
        <v>416</v>
      </c>
      <c r="D39" s="196">
        <f>F7-D37</f>
        <v>93.600000000000136</v>
      </c>
      <c r="E39" s="8" t="s">
        <v>417</v>
      </c>
    </row>
    <row r="40" spans="1:9" ht="14">
      <c r="A40" t="s">
        <v>418</v>
      </c>
      <c r="D40" s="197">
        <f>D39*'Input sheet'!B22</f>
        <v>25.272000000000038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D19" sqref="D19"/>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150</v>
      </c>
    </row>
    <row r="5" spans="1:11" s="15" customFormat="1" ht="14">
      <c r="A5" s="15" t="s">
        <v>114</v>
      </c>
    </row>
    <row r="6" spans="1:11" s="8" customFormat="1" ht="14">
      <c r="A6" s="30" t="s">
        <v>115</v>
      </c>
      <c r="B6" s="30" t="s">
        <v>116</v>
      </c>
      <c r="C6" s="8" t="s">
        <v>117</v>
      </c>
    </row>
    <row r="7" spans="1:11" s="8" customFormat="1" ht="14">
      <c r="A7" s="30">
        <v>1</v>
      </c>
      <c r="B7" s="327">
        <v>150</v>
      </c>
    </row>
    <row r="8" spans="1:11" s="8" customFormat="1" ht="14">
      <c r="A8" s="30">
        <v>2</v>
      </c>
      <c r="B8" s="327">
        <v>130</v>
      </c>
    </row>
    <row r="9" spans="1:11" s="8" customFormat="1" ht="14">
      <c r="A9" s="30">
        <v>3</v>
      </c>
      <c r="B9" s="327">
        <v>110</v>
      </c>
    </row>
    <row r="10" spans="1:11" s="8" customFormat="1" ht="14">
      <c r="A10" s="30">
        <v>4</v>
      </c>
      <c r="B10" s="327">
        <v>100</v>
      </c>
    </row>
    <row r="11" spans="1:11" s="8" customFormat="1" ht="14">
      <c r="A11" s="30">
        <v>5</v>
      </c>
      <c r="B11" s="327">
        <v>90</v>
      </c>
    </row>
    <row r="12" spans="1:11" s="8" customFormat="1" ht="14">
      <c r="A12" s="30" t="s">
        <v>118</v>
      </c>
      <c r="B12" s="326">
        <v>600</v>
      </c>
    </row>
    <row r="13" spans="1:11" s="8" customFormat="1" ht="14"/>
    <row r="14" spans="1:11" s="31" customFormat="1" ht="17" thickBot="1">
      <c r="A14" s="31" t="s">
        <v>119</v>
      </c>
    </row>
    <row r="15" spans="1:11" s="8" customFormat="1" ht="15" thickBot="1">
      <c r="A15" s="8" t="s">
        <v>120</v>
      </c>
      <c r="C15" s="80">
        <f>'Cost of capital worksheet'!B25</f>
        <v>3.7999999999999999E-2</v>
      </c>
      <c r="D15" s="8" t="s">
        <v>230</v>
      </c>
    </row>
    <row r="16" spans="1:11" s="8" customFormat="1" ht="14"/>
    <row r="17" spans="1:7" s="8" customFormat="1" ht="14">
      <c r="D17" s="34"/>
    </row>
    <row r="18" spans="1:7" s="8" customFormat="1" ht="14">
      <c r="A18" s="8" t="s">
        <v>121</v>
      </c>
      <c r="D18" s="35">
        <v>6</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150</v>
      </c>
      <c r="C22" s="9">
        <f>B22/(1+$C$15)^A22</f>
        <v>144.50867052023122</v>
      </c>
    </row>
    <row r="23" spans="1:7" s="8" customFormat="1" ht="14">
      <c r="A23" s="19">
        <f t="shared" ref="A23:B26" si="0">A8</f>
        <v>2</v>
      </c>
      <c r="B23" s="28">
        <f t="shared" si="0"/>
        <v>130</v>
      </c>
      <c r="C23" s="9">
        <f>B23/(1+$C$15)^A23</f>
        <v>120.65592272080961</v>
      </c>
    </row>
    <row r="24" spans="1:7" s="8" customFormat="1" ht="14">
      <c r="A24" s="19">
        <f t="shared" si="0"/>
        <v>3</v>
      </c>
      <c r="B24" s="28">
        <f t="shared" si="0"/>
        <v>110</v>
      </c>
      <c r="C24" s="9">
        <f>B24/(1+$C$15)^A24</f>
        <v>98.355947082325898</v>
      </c>
    </row>
    <row r="25" spans="1:7" s="8" customFormat="1" ht="14">
      <c r="A25" s="19">
        <f t="shared" si="0"/>
        <v>4</v>
      </c>
      <c r="B25" s="28">
        <f t="shared" si="0"/>
        <v>100</v>
      </c>
      <c r="C25" s="9">
        <f>B25/(1+$C$15)^A25</f>
        <v>86.1411342462129</v>
      </c>
    </row>
    <row r="26" spans="1:7" s="8" customFormat="1" ht="14">
      <c r="A26" s="19">
        <f t="shared" si="0"/>
        <v>5</v>
      </c>
      <c r="B26" s="28">
        <f t="shared" si="0"/>
        <v>90</v>
      </c>
      <c r="C26" s="9">
        <f>B26/(1+$C$15)^A26</f>
        <v>74.688844722149909</v>
      </c>
    </row>
    <row r="27" spans="1:7" s="8" customFormat="1" ht="15" thickBot="1">
      <c r="A27" s="36" t="str">
        <f>A12</f>
        <v>6 and beyond</v>
      </c>
      <c r="B27" s="37">
        <f>IF(B12&gt;0,IF(D18&gt;0,B12/D18,B12),0)</f>
        <v>100</v>
      </c>
      <c r="C27" s="38">
        <f>IF(D18&gt;0,(B27*(1-(1+C15)^(-D18))/C15)/(1+$C$15)^5,B27/(1+C15)^6)</f>
        <v>437.87922117864991</v>
      </c>
      <c r="D27" s="8" t="s">
        <v>126</v>
      </c>
    </row>
    <row r="28" spans="1:7" s="8" customFormat="1" ht="15" thickBot="1">
      <c r="A28" s="32" t="s">
        <v>127</v>
      </c>
      <c r="B28" s="39"/>
      <c r="C28" s="40">
        <f>SUM(C22:C27)</f>
        <v>962.22974047037951</v>
      </c>
    </row>
    <row r="29" spans="1:7" s="8" customFormat="1" ht="14"/>
    <row r="30" spans="1:7" s="8" customFormat="1" ht="14">
      <c r="A30" s="15" t="s">
        <v>128</v>
      </c>
    </row>
    <row r="31" spans="1:7" s="8" customFormat="1" ht="15" thickBot="1">
      <c r="A31" s="8" t="s">
        <v>129</v>
      </c>
      <c r="F31" s="38">
        <f>C28/(5+D18)</f>
        <v>87.475430951852687</v>
      </c>
      <c r="G31" s="8" t="s">
        <v>130</v>
      </c>
    </row>
    <row r="32" spans="1:7" s="8" customFormat="1" ht="15" thickBot="1">
      <c r="A32" s="8" t="s">
        <v>131</v>
      </c>
      <c r="F32" s="81">
        <f>E4-F31</f>
        <v>62.524569048147313</v>
      </c>
      <c r="G32" s="8" t="s">
        <v>133</v>
      </c>
    </row>
    <row r="33" spans="1:7" s="8" customFormat="1" ht="15" thickBot="1">
      <c r="A33" s="8" t="s">
        <v>132</v>
      </c>
      <c r="F33" s="41">
        <f>C28</f>
        <v>962.22974047037951</v>
      </c>
      <c r="G33" s="8" t="s">
        <v>134</v>
      </c>
    </row>
    <row r="34" spans="1:7" ht="14">
      <c r="A34" s="8" t="s">
        <v>489</v>
      </c>
      <c r="F34" s="241">
        <f>C28/(5+D18)</f>
        <v>87.475430951852687</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3349.5245690481474</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714.56473013787445</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4.6875033538275259</v>
      </c>
      <c r="E9" s="8"/>
      <c r="F9" s="114"/>
      <c r="G9" s="8"/>
      <c r="H9" s="8"/>
      <c r="I9" s="8"/>
      <c r="J9" s="8"/>
    </row>
    <row r="10" spans="1:10" s="131" customFormat="1" ht="15" thickBot="1">
      <c r="A10" s="8" t="s">
        <v>216</v>
      </c>
      <c r="D10" s="141" t="str">
        <f>IF(C4=1,VLOOKUP(D9,A19:D33,3),(IF(C4=2,VLOOKUP(D9,A38:D52,3),VLOOKUP(D9,F19:I33,3))))</f>
        <v>A2/A</v>
      </c>
      <c r="F10" s="16" t="s">
        <v>217</v>
      </c>
    </row>
    <row r="11" spans="1:10" s="131" customFormat="1" ht="15" thickBot="1">
      <c r="A11" s="8" t="s">
        <v>466</v>
      </c>
      <c r="D11" s="142">
        <f>IF(C4=1,VLOOKUP(D9,A19:D33,4),(IF(C4=2,VLOOKUP(D9,A38:D52,4),VLOOKUP(D9,F19:I33,4))))</f>
        <v>1.3749999999999998E-2</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3.175E-2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2020-02-01T09:24:47Z</dcterms:modified>
</cp:coreProperties>
</file>