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5109AD5-8DBC-2145-82D2-2ED715C1A7FE}"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11" l="1"/>
  <c r="K45" i="1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B21" i="14" l="1"/>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<sst xmlns="http://schemas.openxmlformats.org/spreadsheetml/2006/main" count="1386" uniqueCount="753">
  <si>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</si>
  <si>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</si>
  <si>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</si>
  <si>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</si>
  <si>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</si>
  <si>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</si>
  <si>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</si>
  <si>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</si>
  <si>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</si>
  <si>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</si>
  <si>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</si>
  <si>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</si>
  <si>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</si>
  <si>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</si>
  <si>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</si>
  <si>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</si>
  <si>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</si>
  <si>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</si>
  <si>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</si>
  <si>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</si>
  <si>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</si>
  <si>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</si>
  <si>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</si>
  <si>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</si>
  <si>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</si>
  <si>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</si>
  <si>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</si>
  <si>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</si>
  <si>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</si>
  <si>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</si>
  <si>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</si>
  <si>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</si>
  <si>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</si>
  <si>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</si>
  <si>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</si>
  <si>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</si>
  <si>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</si>
  <si>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</si>
  <si>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</si>
  <si>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</si>
  <si>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</si>
  <si>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</si>
  <si>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</si>
  <si>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</si>
  <si>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</si>
  <si>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</si>
  <si>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</si>
  <si>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</si>
  <si>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</si>
  <si>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</si>
  <si>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</si>
  <si>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</si>
  <si>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</si>
  <si>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</si>
  <si>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</si>
  <si>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</si>
  <si>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</si>
  <si>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</si>
  <si>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</si>
  <si>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</si>
  <si>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</si>
  <si>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</si>
  <si>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</si>
  <si>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</si>
  <si>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</si>
  <si>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</si>
  <si>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</si>
  <si>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</si>
  <si>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</si>
  <si>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</si>
  <si>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</si>
  <si>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</si>
  <si>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</si>
  <si>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</si>
  <si>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</si>
  <si>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</si>
  <si>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</si>
  <si>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</si>
  <si>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</si>
  <si>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</si>
  <si>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</si>
  <si>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</si>
  <si>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</si>
  <si>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</si>
  <si>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</si>
  <si>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</si>
  <si>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</si>
  <si>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</si>
  <si>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</si>
  <si>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</si>
  <si>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</si>
  <si>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</si>
  <si>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</si>
  <si>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</si>
  <si>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</si>
  <si>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</si>
  <si>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</si>
  <si>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</si>
  <si>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</si>
  <si>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</si>
  <si>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</si>
  <si>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</si>
  <si>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</si>
  <si>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</si>
  <si>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</si>
  <si>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</si>
  <si>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</si>
  <si>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</si>
  <si>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</si>
  <si>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</si>
  <si>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</si>
  <si>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</si>
  <si>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</si>
  <si>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</si>
  <si>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</si>
  <si>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</si>
  <si>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</si>
  <si>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</si>
  <si>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</si>
  <si>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</si>
  <si>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</si>
  <si>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</si>
  <si>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</si>
  <si>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</si>
  <si>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</si>
  <si>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</si>
  <si>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</si>
  <si>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</si>
  <si>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</si>
  <si>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</si>
  <si>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</si>
  <si>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</si>
  <si>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</si>
  <si>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</si>
  <si>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</si>
  <si>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</si>
  <si>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</si>
  <si>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</si>
  <si>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</si>
  <si>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</si>
  <si>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</si>
  <si>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</si>
  <si>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</si>
  <si>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</si>
  <si>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</si>
  <si>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</si>
  <si>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</si>
  <si>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</si>
  <si>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</si>
  <si>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</si>
  <si>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</si>
  <si>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</si>
  <si>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</si>
  <si>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</si>
  <si>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</si>
  <si>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</si>
  <si>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</si>
  <si>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</si>
  <si>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</si>
  <si>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</si>
  <si>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</si>
  <si>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</si>
  <si>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</si>
  <si>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</si>
  <si>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</si>
  <si>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</si>
  <si>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</si>
  <si>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</si>
  <si>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</si>
  <si>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</si>
  <si>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</si>
  <si>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</si>
  <si>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</si>
  <si>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</si>
  <si>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</si>
  <si>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</si>
  <si>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</si>
  <si>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</si>
  <si>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</si>
  <si>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</si>
  <si>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</si>
  <si>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</si>
  <si>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</si>
  <si>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</si>
  <si>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</si>
  <si>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</si>
  <si>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</si>
  <si>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</si>
  <si>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</si>
  <si>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</si>
  <si>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</si>
  <si>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</si>
  <si>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</si>
  <si>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</si>
  <si>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</si>
  <si>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</si>
  <si>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</si>
  <si>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</si>
  <si>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</si>
  <si>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</si>
  <si>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</si>
  <si>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</si>
  <si>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</si>
  <si>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</si>
  <si>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</si>
  <si>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</si>
  <si>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</si>
  <si>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</si>
  <si>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</si>
  <si>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</si>
  <si>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</si>
  <si>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</si>
  <si>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</si>
  <si>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</si>
  <si>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</si>
  <si>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</si>
  <si>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</si>
  <si>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</si>
  <si>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</si>
  <si>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</si>
  <si>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</si>
  <si>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</si>
  <si>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</si>
  <si>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</si>
  <si>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</si>
  <si>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</si>
  <si>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</si>
  <si>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</si>
  <si>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</si>
  <si>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</si>
  <si>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</si>
  <si>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</si>
  <si>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</si>
  <si>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</si>
  <si>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</si>
  <si>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</si>
  <si>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</si>
  <si>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</si>
  <si>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</si>
  <si>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</si>
  <si>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</si>
  <si>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</si>
  <si>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</si>
  <si>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</si>
  <si>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</si>
  <si>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</si>
  <si>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</si>
  <si>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</si>
  <si>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</si>
  <si>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</si>
  <si>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</si>
  <si>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</si>
  <si>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</si>
  <si>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</si>
  <si>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</si>
  <si>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</si>
  <si>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</si>
  <si>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</si>
  <si>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</si>
  <si>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</si>
  <si>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</si>
  <si>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</si>
  <si>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</si>
  <si>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</si>
  <si>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</si>
  <si>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</si>
  <si>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</si>
  <si>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</si>
  <si>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</si>
  <si>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</si>
  <si>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</si>
  <si>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</si>
  <si>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</si>
  <si>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</si>
  <si>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</si>
  <si>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</si>
  <si>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</si>
  <si>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</si>
  <si>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</si>
  <si>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</si>
  <si>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</si>
  <si>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</si>
  <si>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</si>
  <si>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</si>
  <si>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</si>
  <si>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</si>
  <si>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</si>
  <si>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</si>
  <si>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</si>
  <si>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</si>
  <si>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</si>
  <si>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</si>
  <si>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</si>
  <si>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</si>
  <si>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</si>
  <si>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</si>
  <si>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</si>
  <si>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</si>
  <si>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</si>
  <si>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</si>
  <si>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</si>
  <si>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</si>
  <si>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</si>
  <si>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</si>
  <si>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</si>
  <si>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</si>
  <si>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</si>
  <si>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</si>
  <si>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</si>
  <si>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</si>
  <si>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</si>
  <si>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</si>
  <si>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</si>
  <si>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</si>
  <si>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</si>
  <si>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</si>
  <si>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</si>
  <si>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</si>
  <si>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</si>
  <si>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</si>
  <si>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</si>
  <si>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</si>
  <si>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</si>
  <si>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</si>
  <si>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</si>
  <si>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</si>
  <si>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</si>
  <si>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</si>
  <si>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</si>
  <si>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</si>
  <si>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</si>
  <si>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</si>
  <si>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</si>
  <si>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</si>
  <si>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</si>
  <si>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</si>
  <si>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</si>
  <si>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</si>
  <si>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</si>
  <si>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</si>
  <si>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</si>
  <si>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</si>
  <si>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</si>
  <si>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</si>
  <si>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</si>
  <si>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</si>
  <si>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</si>
  <si>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</si>
  <si>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</si>
  <si>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</si>
  <si>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</si>
  <si>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</si>
  <si>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</si>
  <si>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</si>
  <si>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</si>
  <si>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</si>
  <si>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</si>
  <si>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</si>
  <si>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</si>
  <si>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</si>
  <si>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</si>
  <si>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</si>
  <si>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</si>
  <si>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</si>
  <si>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</si>
  <si>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</si>
  <si>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</si>
  <si>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</si>
  <si>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</si>
  <si>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</si>
  <si>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</si>
  <si>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</si>
  <si>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</si>
  <si>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</si>
  <si>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</si>
  <si>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</si>
  <si>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</si>
  <si>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</si>
  <si>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</si>
  <si>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</si>
  <si>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</si>
  <si>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</si>
  <si>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</si>
  <si>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</si>
  <si>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</si>
  <si>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</si>
  <si>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</si>
  <si>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</si>
  <si>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</si>
  <si>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</si>
  <si>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</si>
  <si>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</si>
  <si>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</si>
  <si>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</si>
  <si>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</si>
  <si>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</si>
  <si>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</si>
  <si>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</si>
  <si>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</si>
  <si>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</si>
  <si>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</si>
  <si>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</si>
  <si>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</si>
  <si>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</si>
  <si>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</si>
  <si>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</si>
  <si>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</si>
  <si>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</si>
  <si>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</si>
  <si>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</si>
  <si>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</si>
  <si>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</si>
  <si>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</si>
  <si>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</si>
  <si>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</si>
  <si>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</si>
  <si>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</si>
  <si>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</si>
  <si>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</si>
  <si>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</si>
  <si>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</si>
  <si>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</si>
  <si>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</si>
  <si>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</si>
  <si>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</si>
  <si>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</si>
  <si>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</si>
  <si>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</si>
  <si>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</si>
  <si>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</si>
  <si>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</si>
  <si>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</si>
  <si>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</si>
  <si>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</si>
  <si>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</si>
  <si>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</si>
  <si>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</si>
  <si>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</si>
  <si>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</si>
  <si>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</si>
  <si>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</si>
  <si>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</si>
  <si>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</si>
  <si>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</si>
  <si>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</si>
  <si>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</si>
  <si>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</si>
  <si>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</si>
  <si>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</si>
  <si>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</si>
  <si>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</si>
  <si>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</si>
  <si>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</si>
  <si>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</si>
  <si>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</si>
  <si>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</si>
  <si>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</si>
  <si>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</si>
  <si>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</si>
  <si>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</si>
  <si>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</si>
  <si>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</si>
  <si>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</si>
  <si>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</si>
  <si>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</si>
  <si>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</si>
  <si>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</si>
  <si>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</si>
  <si>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</si>
  <si>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</si>
  <si>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</si>
  <si>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</si>
  <si>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</si>
  <si>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</si>
  <si>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</si>
  <si>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</si>
  <si>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</si>
  <si>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</si>
  <si>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</si>
  <si>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</si>
  <si>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</si>
  <si>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</si>
  <si>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</si>
  <si>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</si>
  <si>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</si>
  <si>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</si>
  <si>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</si>
  <si>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</si>
  <si>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</si>
  <si>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</si>
  <si>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</si>
  <si>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</si>
  <si>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</si>
  <si>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</si>
  <si>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</si>
  <si>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</si>
  <si>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</si>
  <si>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</si>
  <si>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</si>
  <si>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</si>
  <si>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</si>
  <si>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</si>
  <si>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</si>
  <si>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</si>
  <si>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</si>
  <si>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</si>
  <si>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</si>
  <si>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</si>
  <si>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</si>
  <si>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</si>
  <si>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</si>
  <si>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</si>
  <si>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</si>
  <si>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</si>
  <si>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</si>
  <si>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</si>
  <si>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</si>
  <si>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</si>
  <si>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</si>
  <si>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</si>
  <si>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</si>
  <si>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</si>
  <si>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</si>
  <si>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</si>
  <si>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</si>
  <si>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</si>
  <si>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</si>
  <si>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</si>
  <si>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</si>
  <si>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</si>
  <si>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</si>
  <si>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</si>
  <si>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</si>
  <si>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</si>
  <si>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</si>
  <si>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</si>
  <si>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</si>
  <si>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</si>
  <si>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</si>
  <si>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</si>
  <si>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</si>
  <si>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</si>
  <si>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</si>
  <si>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</si>
  <si>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</si>
  <si>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</si>
  <si>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</si>
  <si>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</si>
  <si>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</si>
  <si>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</si>
  <si>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</si>
  <si>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</si>
  <si>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</si>
  <si>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</si>
  <si>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</si>
  <si>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</si>
  <si>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</si>
  <si>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</si>
  <si>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</si>
  <si>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</si>
  <si>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</si>
  <si>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</si>
  <si>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</si>
  <si>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</si>
  <si>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</si>
  <si>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</si>
  <si>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</si>
  <si>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</si>
  <si>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</si>
  <si>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</si>
  <si>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</si>
  <si>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</si>
  <si>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</si>
  <si>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</si>
  <si>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</si>
  <si>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</si>
  <si>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</si>
  <si>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</si>
  <si>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</si>
  <si>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</si>
  <si>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</si>
  <si>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</si>
  <si>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</si>
  <si>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</si>
  <si>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</si>
  <si>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</si>
  <si>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</si>
  <si>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</si>
  <si>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</si>
  <si>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</si>
  <si>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</si>
  <si>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</si>
  <si>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</si>
  <si>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</si>
  <si>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</si>
  <si>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</si>
  <si>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</si>
  <si>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</si>
  <si>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</si>
  <si>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</si>
  <si>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</si>
  <si>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</si>
  <si>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</si>
  <si>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</si>
  <si>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</si>
  <si>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</si>
  <si>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</si>
  <si>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</si>
  <si>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</si>
  <si>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</si>
  <si>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</si>
  <si>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</si>
  <si>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</si>
  <si>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</si>
  <si>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</si>
  <si>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</si>
  <si>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</si>
  <si>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</si>
  <si>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</si>
  <si>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</si>
  <si>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</si>
  <si>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</si>
  <si>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</si>
  <si>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</si>
  <si>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</si>
  <si>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</si>
  <si>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</si>
  <si>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</si>
  <si>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</si>
  <si>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</si>
  <si>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</si>
  <si>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</si>
  <si>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</si>
  <si>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</si>
  <si>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</si>
  <si>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</si>
  <si>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</si>
  <si>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</si>
  <si>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</si>
  <si>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</si>
  <si>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</si>
  <si>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</si>
  <si>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</si>
  <si>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</si>
  <si>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</si>
  <si>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</si>
  <si>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</si>
  <si>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</si>
  <si>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</si>
  <si>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</si>
  <si>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</si>
  <si>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</si>
  <si>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</si>
  <si>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</si>
  <si>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</si>
  <si>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</si>
  <si>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</si>
  <si>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</si>
  <si>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</si>
  <si>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</si>
  <si>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</si>
  <si>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</si>
  <si>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</si>
  <si>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</si>
  <si>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</si>
  <si>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</si>
  <si>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</si>
  <si>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</si>
  <si>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</si>
  <si>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</si>
  <si>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</si>
  <si>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</si>
  <si>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</si>
  <si>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</si>
  <si>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</si>
  <si>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</si>
  <si>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</si>
  <si>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</si>
  <si>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</si>
  <si>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</si>
  <si>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</si>
  <si>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</si>
  <si>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</si>
  <si>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</si>
  <si>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</si>
  <si>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</si>
  <si>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</si>
  <si>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</si>
  <si>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</si>
  <si>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</si>
  <si>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</si>
  <si>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</si>
  <si>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</si>
  <si>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</si>
  <si>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</si>
  <si>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</si>
  <si>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</si>
  <si>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</si>
  <si>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</si>
  <si>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</si>
  <si>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</si>
  <si>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</si>
  <si>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</si>
  <si>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</si>
  <si>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</si>
  <si>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</si>
  <si>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</si>
  <si>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</si>
  <si>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</si>
  <si>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</si>
  <si>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</si>
  <si>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</si>
  <si>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</si>
  <si>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</si>
  <si>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</si>
  <si>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</si>
  <si>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</si>
  <si>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</si>
  <si>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</si>
  <si>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</si>
  <si>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</si>
  <si>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</si>
  <si>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</si>
  <si>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</si>
  <si>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</si>
  <si>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</si>
  <si>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</si>
  <si>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</si>
  <si>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</si>
  <si>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</si>
  <si>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</si>
  <si>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</si>
  <si>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</si>
  <si>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</si>
  <si>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</si>
  <si>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</si>
  <si>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</si>
  <si>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</si>
  <si>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</si>
  <si>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</si>
  <si>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</si>
  <si>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</si>
  <si>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</si>
  <si>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</si>
  <si>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</si>
  <si>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</si>
  <si>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</si>
  <si>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</si>
  <si>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</si>
  <si>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</si>
  <si>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</si>
  <si>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Berkshire Hathaway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</si>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</sst>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2" zoomScaleNormal="100" workbookViewId="0">
      <selection activeCell="C29" sqref="C29"/>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526</v>
      </c>
      <c r="C6" s="82"/>
      <c r="D6" s="82"/>
      <c r="E6" s="82"/>
      <c r="F6" s="82"/>
      <c r="G6" s="82"/>
      <c r="H6" s="82"/>
      <c r="I6" s="82"/>
    </row>
    <row r="7" spans="1:10" s="56" customFormat="1" ht="13">
      <c r="A7" s="156" t="s">
        <v>430</v>
      </c>
      <c r="B7" s="157" t="s">
        <v>526</v>
      </c>
      <c r="C7" s="246" t="s">
        <v>389</v>
      </c>
      <c r="D7" s="246" t="s">
        <v>612</v>
      </c>
      <c r="E7" s="82"/>
      <c r="F7" s="82"/>
      <c r="G7" s="82"/>
      <c r="H7" s="82"/>
      <c r="I7" s="82"/>
    </row>
    <row r="8" spans="1:10" s="56" customFormat="1" ht="13">
      <c r="A8" s="60" t="s">
        <v>11</v>
      </c>
      <c r="B8" s="61">
        <v>252962</v>
      </c>
      <c r="C8" s="85">
        <v>247837</v>
      </c>
      <c r="D8" s="245">
        <v>0.75</v>
      </c>
    </row>
    <row r="9" spans="1:10" s="56" customFormat="1" ht="13">
      <c r="A9" s="60" t="s">
        <v>29</v>
      </c>
      <c r="B9" s="61">
        <v>37700</v>
      </c>
      <c r="C9" s="85">
        <v>36302</v>
      </c>
      <c r="D9" s="245">
        <v>0.75</v>
      </c>
    </row>
    <row r="10" spans="1:10" s="56" customFormat="1" ht="13">
      <c r="A10" s="60" t="s">
        <v>432</v>
      </c>
      <c r="B10" s="85">
        <v>4212</v>
      </c>
      <c r="C10" s="85">
        <v>3853</v>
      </c>
      <c r="D10" s="62"/>
    </row>
    <row r="11" spans="1:10" s="56" customFormat="1" ht="13">
      <c r="A11" s="60" t="s">
        <v>30</v>
      </c>
      <c r="B11" s="61">
        <v>401558</v>
      </c>
      <c r="C11" s="85">
        <v>352500</v>
      </c>
      <c r="D11" s="62"/>
    </row>
    <row r="12" spans="1:10" s="56" customFormat="1" ht="13">
      <c r="A12" s="60" t="s">
        <v>31</v>
      </c>
      <c r="B12" s="61">
        <v>102194</v>
      </c>
      <c r="C12" s="85">
        <v>97490</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384912</v>
      </c>
      <c r="C15" s="85">
        <v>321847</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1384.1</v>
      </c>
      <c r="C19" s="62"/>
    </row>
    <row r="20" spans="1:11" s="56" customFormat="1" ht="13">
      <c r="A20" s="60" t="s">
        <v>33</v>
      </c>
      <c r="B20" s="61">
        <v>396</v>
      </c>
      <c r="C20" s="62"/>
      <c r="E20" s="86" t="s">
        <v>238</v>
      </c>
      <c r="F20" s="54"/>
      <c r="G20" s="54"/>
      <c r="H20" s="54"/>
      <c r="I20" s="54"/>
      <c r="J20" s="54"/>
      <c r="K20" s="55"/>
    </row>
    <row r="21" spans="1:11" s="56" customFormat="1" ht="13">
      <c r="A21" s="63" t="s">
        <v>103</v>
      </c>
      <c r="B21" s="64">
        <v>0.21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2.766647843877168E-2</v>
      </c>
      <c r="J23" s="259">
        <f>VLOOKUP(B6,'Industry Average Beta (US)'!A2:S95,3)</f>
        <v>5.2422222222222231E-2</v>
      </c>
      <c r="K23" s="260">
        <f>VLOOKUP(B7,'Industry Average Beta (Global)'!A2:N95,3)</f>
        <v>8.7207258687258676E-2</v>
      </c>
    </row>
    <row r="24" spans="1:11" s="56" customFormat="1" ht="13">
      <c r="A24" s="60" t="s">
        <v>49</v>
      </c>
      <c r="B24" s="67">
        <v>0.03</v>
      </c>
      <c r="C24" s="62"/>
      <c r="E24" s="87" t="s">
        <v>170</v>
      </c>
      <c r="F24" s="82"/>
      <c r="G24" s="82"/>
      <c r="H24" s="82"/>
      <c r="I24" s="259">
        <f>'Valuation output'!B4</f>
        <v>0.1508352804165207</v>
      </c>
      <c r="J24" s="260">
        <f>VLOOKUP(B6,'Industry Average Beta (US)'!A2:S95,4)</f>
        <v>0.12930341988526417</v>
      </c>
      <c r="K24" s="260">
        <f>VLOOKUP(B7,'Industry Average Beta (Global)'!A2:N95,4)</f>
        <v>0.11498365087461657</v>
      </c>
    </row>
    <row r="25" spans="1:11" s="56" customFormat="1" ht="13">
      <c r="A25" s="60" t="s">
        <v>51</v>
      </c>
      <c r="B25" s="67">
        <v>0.13</v>
      </c>
      <c r="C25" s="62"/>
      <c r="E25" s="87" t="s">
        <v>171</v>
      </c>
      <c r="F25" s="82"/>
      <c r="G25" s="82"/>
      <c r="H25" s="82"/>
      <c r="I25" s="261">
        <f>B8/'Valuation output'!B39</f>
        <v>1.9963909275482719</v>
      </c>
      <c r="J25" s="261">
        <f>VLOOKUP(B6,'Industry Average Beta (US)'!A2:S95,14)</f>
        <v>0.90992351248652981</v>
      </c>
      <c r="K25" s="261">
        <f>VLOOKUP(B7,'Industry Average Beta (Global)'!A2:N95,14)</f>
        <v>0.94723859228204221</v>
      </c>
    </row>
    <row r="26" spans="1:11" s="56" customFormat="1" ht="13">
      <c r="A26" s="60" t="s">
        <v>673</v>
      </c>
      <c r="B26" s="68">
        <v>5</v>
      </c>
      <c r="C26" s="62"/>
      <c r="E26" s="87" t="s">
        <v>172</v>
      </c>
      <c r="F26" s="82"/>
      <c r="G26" s="82"/>
      <c r="H26" s="82"/>
      <c r="I26" s="260">
        <f>'Valuation output'!B7/'Valuation output'!B39</f>
        <v>0.23788968644841574</v>
      </c>
      <c r="J26" s="260">
        <f>VLOOKUP(B6,'Industry Average Beta (US)'!A2:S95,5)</f>
        <v>0.10932912627449273</v>
      </c>
      <c r="K26" s="260">
        <f>VLOOKUP(B7,'Industry Average Beta (Global)'!A2:N95,5)</f>
        <v>9.2430402925818597E-2</v>
      </c>
    </row>
    <row r="27" spans="1:11" s="56" customFormat="1" ht="13">
      <c r="A27" s="60" t="s">
        <v>37</v>
      </c>
      <c r="B27" s="68">
        <f>I25</f>
        <v>1.9963909275482719</v>
      </c>
      <c r="C27" s="62"/>
      <c r="E27" s="87" t="s">
        <v>378</v>
      </c>
      <c r="F27" s="82"/>
      <c r="G27" s="82"/>
      <c r="H27" s="82"/>
      <c r="I27" s="168"/>
      <c r="J27" s="262">
        <f>VLOOKUP(B6,'Industry Average Beta (US)'!A2:S95,10)</f>
        <v>0.39461086623709107</v>
      </c>
      <c r="K27" s="260">
        <f>VLOOKUP(B6,'Industry Average Beta (Global)'!A2:Z95,10)</f>
        <v>0.27211638602102722</v>
      </c>
    </row>
    <row r="28" spans="1:11" s="56" customFormat="1" ht="14" thickBot="1">
      <c r="A28" s="65" t="s">
        <v>36</v>
      </c>
      <c r="B28" s="69"/>
      <c r="C28" s="62"/>
      <c r="E28" s="58" t="s">
        <v>377</v>
      </c>
      <c r="F28" s="59"/>
      <c r="G28" s="59"/>
      <c r="H28" s="59"/>
      <c r="I28" s="59"/>
      <c r="J28" s="263">
        <f>VLOOKUP(B6,'Industry Average Beta (US)'!A2:S95,13)</f>
        <v>8.7817558789580974E-2</v>
      </c>
      <c r="K28" s="260">
        <f>VLOOKUP(B6,'Industry Average Beta (Global)'!A2:Z95,13)</f>
        <v>7.2064627405971152E-2</v>
      </c>
    </row>
    <row r="29" spans="1:11" s="56" customFormat="1" ht="14" thickBot="1">
      <c r="A29" s="60" t="s">
        <v>27</v>
      </c>
      <c r="B29" s="67">
        <v>1.7999999999999999E-2</v>
      </c>
      <c r="C29" s="62"/>
    </row>
    <row r="30" spans="1:11" s="56" customFormat="1" ht="13">
      <c r="A30" s="60" t="s">
        <v>39</v>
      </c>
      <c r="B30" s="159">
        <f>'Cost of capital worksheet'!E50</f>
        <v>7.5114325235789078E-2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334141.81569990877</v>
      </c>
    </row>
    <row r="32" spans="1:11" s="56" customFormat="1" ht="13">
      <c r="A32" s="63" t="s">
        <v>241</v>
      </c>
      <c r="B32" s="159" t="s">
        <v>53</v>
      </c>
      <c r="C32"/>
      <c r="D32" s="62"/>
      <c r="E32" s="247" t="s">
        <v>603</v>
      </c>
      <c r="F32" s="63"/>
      <c r="G32" s="63"/>
      <c r="H32" s="63"/>
      <c r="I32" s="63"/>
      <c r="J32" s="258">
        <f>'Valuation output'!M5</f>
        <v>43438.436040988141</v>
      </c>
    </row>
    <row r="33" spans="1:14" s="56" customFormat="1" ht="13">
      <c r="A33" s="63" t="s">
        <v>89</v>
      </c>
      <c r="B33" s="68">
        <v>6.3</v>
      </c>
      <c r="C33" s="257"/>
      <c r="D33" s="62"/>
      <c r="E33" s="247" t="s">
        <v>602</v>
      </c>
      <c r="F33" s="63"/>
      <c r="G33" s="63"/>
      <c r="H33" s="63"/>
      <c r="I33" s="63"/>
      <c r="J33" s="259">
        <f>'Valuation output'!L40</f>
        <v>0.18945749902433101</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c r="I39" s="56">
        <f>1383.4+0.708</f>
        <v>1384.1080000000002</v>
      </c>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t="s">
        <v>101</v>
      </c>
      <c r="J44" s="74" t="s">
        <v>752</v>
      </c>
      <c r="K44" s="74"/>
      <c r="L44" s="74"/>
      <c r="M44" s="74"/>
    </row>
    <row r="45" spans="1:14" s="56" customFormat="1" ht="13">
      <c r="A45" s="74" t="s">
        <v>136</v>
      </c>
      <c r="C45" s="62"/>
      <c r="I45" s="56">
        <v>1383.4</v>
      </c>
      <c r="J45" s="56">
        <v>0.70799999999999996</v>
      </c>
      <c r="K45" s="56">
        <f>I45/(I45+J45)*I46+J45/(I45+J45)*J46</f>
        <v>396.18413447505543</v>
      </c>
    </row>
    <row r="46" spans="1:14" s="56" customFormat="1" ht="13">
      <c r="A46" s="56" t="s">
        <v>40</v>
      </c>
      <c r="B46" s="76" t="s">
        <v>53</v>
      </c>
      <c r="C46" s="62"/>
      <c r="I46" s="56">
        <v>224.43</v>
      </c>
      <c r="J46" s="56">
        <v>335996</v>
      </c>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7" zoomScale="125" zoomScaleNormal="125" workbookViewId="0">
      <selection activeCell="C23" sqref="C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252962</v>
      </c>
      <c r="C3" s="93">
        <f>B3*(1+C2)</f>
        <v>260550.86000000002</v>
      </c>
      <c r="D3" s="93">
        <f t="shared" ref="D3:L3" si="0">C3*(1+D2)</f>
        <v>268367.38580000005</v>
      </c>
      <c r="E3" s="93">
        <f t="shared" si="0"/>
        <v>276418.40737400006</v>
      </c>
      <c r="F3" s="93">
        <f t="shared" si="0"/>
        <v>284710.95959522005</v>
      </c>
      <c r="G3" s="93">
        <f t="shared" si="0"/>
        <v>293252.28838307667</v>
      </c>
      <c r="H3" s="93">
        <f t="shared" si="0"/>
        <v>301346.05154244963</v>
      </c>
      <c r="I3" s="93">
        <f t="shared" si="0"/>
        <v>308939.9720413193</v>
      </c>
      <c r="J3" s="93">
        <f t="shared" si="0"/>
        <v>315983.80340386136</v>
      </c>
      <c r="K3" s="93">
        <f t="shared" si="0"/>
        <v>322429.87299330015</v>
      </c>
      <c r="L3" s="93">
        <f t="shared" si="0"/>
        <v>328233.61070717953</v>
      </c>
      <c r="M3" s="109">
        <f>L3*(1+M2)</f>
        <v>334141.81569990877</v>
      </c>
    </row>
    <row r="4" spans="1:14" ht="15" customHeight="1">
      <c r="A4" s="45" t="s">
        <v>26</v>
      </c>
      <c r="B4" s="94">
        <f>B5/B3</f>
        <v>0.1508352804165207</v>
      </c>
      <c r="C4" s="90">
        <f>IF(C1&gt;'Input sheet'!$B$26,'Input sheet'!$B$25,'Input sheet'!$B$25-(('Input sheet'!$B$25-$B$4)/'Input sheet'!$B$26)*('Input sheet'!$B$26-C1))</f>
        <v>0.14666822433321655</v>
      </c>
      <c r="D4" s="90">
        <f>IF(D1&gt;'Input sheet'!$B$26,'Input sheet'!$B$25,'Input sheet'!$B$25-(('Input sheet'!$B$25-$B$4)/'Input sheet'!$B$26)*('Input sheet'!$B$26-D1))</f>
        <v>0.14250116824991241</v>
      </c>
      <c r="E4" s="90">
        <f>IF(E1&gt;'Input sheet'!$B$26,'Input sheet'!$B$25,'Input sheet'!$B$25-(('Input sheet'!$B$25-$B$4)/'Input sheet'!$B$26)*('Input sheet'!$B$26-E1))</f>
        <v>0.13833411216660829</v>
      </c>
      <c r="F4" s="90">
        <f>IF(F1&gt;'Input sheet'!$B$26,'Input sheet'!$B$25,'Input sheet'!$B$25-(('Input sheet'!$B$25-$B$4)/'Input sheet'!$B$26)*('Input sheet'!$B$26-F1))</f>
        <v>0.13416705608330415</v>
      </c>
      <c r="G4" s="90">
        <f>IF(G1&gt;'Input sheet'!$B$26,'Input sheet'!$B$25,'Input sheet'!$B$25-(('Input sheet'!$B$25-$B$4)/'Input sheet'!$B$26)*('Input sheet'!$B$26-G1))</f>
        <v>0.13</v>
      </c>
      <c r="H4" s="90">
        <f>IF(H1&gt;'Input sheet'!$B$26,'Input sheet'!$B$25,'Input sheet'!$B$25-(('Input sheet'!$B$25-$B$4)/'Input sheet'!$B$26)*('Input sheet'!$B$26-H1))</f>
        <v>0.13</v>
      </c>
      <c r="I4" s="90">
        <f>IF(I1&gt;'Input sheet'!$B$26,'Input sheet'!$B$25,'Input sheet'!$B$25-(('Input sheet'!$B$25-$B$4)/'Input sheet'!$B$26)*('Input sheet'!$B$26-I1))</f>
        <v>0.13</v>
      </c>
      <c r="J4" s="90">
        <f>IF(J1&gt;'Input sheet'!$B$26,'Input sheet'!$B$25,'Input sheet'!$B$25-(('Input sheet'!$B$25-$B$4)/'Input sheet'!$B$26)*('Input sheet'!$B$26-J1))</f>
        <v>0.13</v>
      </c>
      <c r="K4" s="90">
        <f>IF(K1&gt;'Input sheet'!$B$26,'Input sheet'!$B$25,'Input sheet'!$B$25-(('Input sheet'!$B$25-$B$4)/'Input sheet'!$B$26)*('Input sheet'!$B$26-K1))</f>
        <v>0.13</v>
      </c>
      <c r="L4" s="90">
        <f>IF(L1&gt;'Input sheet'!$B$26,'Input sheet'!$B$25,'Input sheet'!$B$25-(('Input sheet'!$B$25-$B$4)/'Input sheet'!$B$26)*('Input sheet'!$B$26-L1))</f>
        <v>0.13</v>
      </c>
      <c r="M4" s="91">
        <f>L4</f>
        <v>0.13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38155.594204723908</v>
      </c>
      <c r="C5" s="93">
        <f t="shared" ref="C5:M5" si="1">C4*C3</f>
        <v>38214.531984692498</v>
      </c>
      <c r="D5" s="93">
        <f t="shared" si="1"/>
        <v>38242.665996674958</v>
      </c>
      <c r="E5" s="93">
        <f t="shared" si="1"/>
        <v>38238.094970590151</v>
      </c>
      <c r="F5" s="93">
        <f t="shared" si="1"/>
        <v>38198.83128354323</v>
      </c>
      <c r="G5" s="93">
        <f t="shared" si="1"/>
        <v>38122.797489799967</v>
      </c>
      <c r="H5" s="93">
        <f t="shared" si="1"/>
        <v>39174.98670051845</v>
      </c>
      <c r="I5" s="93">
        <f t="shared" si="1"/>
        <v>40162.196365371514</v>
      </c>
      <c r="J5" s="93">
        <f t="shared" si="1"/>
        <v>41077.89444250198</v>
      </c>
      <c r="K5" s="93">
        <f t="shared" si="1"/>
        <v>41915.883489129017</v>
      </c>
      <c r="L5" s="93">
        <f t="shared" si="1"/>
        <v>42670.369391933338</v>
      </c>
      <c r="M5" s="109">
        <f t="shared" si="1"/>
        <v>43438.436040988141</v>
      </c>
      <c r="N5" s="111">
        <f>M5-B5</f>
        <v>5282.8418362642333</v>
      </c>
    </row>
    <row r="6" spans="1:14" ht="15" customHeight="1">
      <c r="A6" s="45" t="s">
        <v>137</v>
      </c>
      <c r="B6" s="95">
        <f>'Input sheet'!B21</f>
        <v>0.21</v>
      </c>
      <c r="C6" s="96">
        <f>B6</f>
        <v>0.21</v>
      </c>
      <c r="D6" s="96">
        <f>C6</f>
        <v>0.21</v>
      </c>
      <c r="E6" s="96">
        <f>D6</f>
        <v>0.21</v>
      </c>
      <c r="F6" s="96">
        <f>E6</f>
        <v>0.21</v>
      </c>
      <c r="G6" s="96">
        <f>F6</f>
        <v>0.21</v>
      </c>
      <c r="H6" s="96">
        <f>G6+($M$6-$G$6)/5</f>
        <v>0.222</v>
      </c>
      <c r="I6" s="96">
        <f>H6+($M$6-$G$6)/5</f>
        <v>0.23400000000000001</v>
      </c>
      <c r="J6" s="96">
        <f>I6+($M$6-$G$6)/5</f>
        <v>0.24600000000000002</v>
      </c>
      <c r="K6" s="96">
        <f>J6+($M$6-$G$6)/5</f>
        <v>0.25800000000000001</v>
      </c>
      <c r="L6" s="96">
        <f>K6+($M$6-$G$6)/5</f>
        <v>0.27</v>
      </c>
      <c r="M6" s="96">
        <f>IF('Input sheet'!B51="Yes",'Input sheet'!B21,'Input sheet'!B22)</f>
        <v>0.27</v>
      </c>
    </row>
    <row r="7" spans="1:14" ht="15" customHeight="1">
      <c r="A7" s="45" t="s">
        <v>12</v>
      </c>
      <c r="B7" s="92">
        <f>IF(B5&gt;0,B5*(1-B6),B5)</f>
        <v>30142.919421731887</v>
      </c>
      <c r="C7" s="93">
        <f>IF(C5&gt;0,IF(C5&lt;B10,C5,C5-(C5-B10)*C6),C5)</f>
        <v>30189.480267907074</v>
      </c>
      <c r="D7" s="93">
        <f t="shared" ref="D7:L7" si="2">IF(D5&gt;0,IF(D5&lt;C10,D5,D5-(D5-C10)*D6),D5)</f>
        <v>30211.706137373218</v>
      </c>
      <c r="E7" s="93">
        <f t="shared" si="2"/>
        <v>30208.095026766219</v>
      </c>
      <c r="F7" s="93">
        <f t="shared" si="2"/>
        <v>30177.076713999151</v>
      </c>
      <c r="G7" s="93">
        <f t="shared" si="2"/>
        <v>30117.010016941975</v>
      </c>
      <c r="H7" s="93">
        <f t="shared" si="2"/>
        <v>30478.139653003353</v>
      </c>
      <c r="I7" s="93">
        <f t="shared" si="2"/>
        <v>30764.242415874578</v>
      </c>
      <c r="J7" s="93">
        <f t="shared" si="2"/>
        <v>30972.732409646494</v>
      </c>
      <c r="K7" s="93">
        <f t="shared" si="2"/>
        <v>31101.58554893373</v>
      </c>
      <c r="L7" s="93">
        <f t="shared" si="2"/>
        <v>31149.369656111336</v>
      </c>
      <c r="M7" s="93">
        <f>M5*(1-M6)</f>
        <v>31710.058309921344</v>
      </c>
    </row>
    <row r="8" spans="1:14" ht="15" customHeight="1">
      <c r="A8" s="45" t="s">
        <v>15</v>
      </c>
      <c r="B8" s="92"/>
      <c r="C8" s="93">
        <f t="shared" ref="C8:L8" si="3">(C3-B3)/C38</f>
        <v>3801.2895647245523</v>
      </c>
      <c r="D8" s="93">
        <f t="shared" si="3"/>
        <v>3915.3282516662971</v>
      </c>
      <c r="E8" s="93">
        <f t="shared" si="3"/>
        <v>4032.7880992162759</v>
      </c>
      <c r="F8" s="93">
        <f t="shared" si="3"/>
        <v>4153.7717421927509</v>
      </c>
      <c r="G8" s="93">
        <f t="shared" si="3"/>
        <v>4278.3848944585498</v>
      </c>
      <c r="H8" s="93">
        <f t="shared" si="3"/>
        <v>4054.1975259889355</v>
      </c>
      <c r="I8" s="93">
        <f t="shared" si="3"/>
        <v>3803.824388340422</v>
      </c>
      <c r="J8" s="93">
        <f t="shared" si="3"/>
        <v>3528.2825950288434</v>
      </c>
      <c r="K8" s="93">
        <f t="shared" si="3"/>
        <v>3228.8613920696785</v>
      </c>
      <c r="L8" s="93">
        <f t="shared" si="3"/>
        <v>2907.1148510010698</v>
      </c>
      <c r="M8" s="97">
        <f>IF(M2&gt;0,(M2/M40)*M7,0)</f>
        <v>9060.0166599775257</v>
      </c>
      <c r="N8" s="111">
        <f>SUM(C8:M8)</f>
        <v>46763.859964664895</v>
      </c>
    </row>
    <row r="9" spans="1:14" ht="15" customHeight="1">
      <c r="A9" s="45" t="s">
        <v>16</v>
      </c>
      <c r="B9" s="92"/>
      <c r="C9" s="93">
        <f t="shared" ref="C9:L9" si="4">C7-C8</f>
        <v>26388.190703182521</v>
      </c>
      <c r="D9" s="93">
        <f t="shared" si="4"/>
        <v>26296.377885706919</v>
      </c>
      <c r="E9" s="93">
        <f t="shared" si="4"/>
        <v>26175.306927549944</v>
      </c>
      <c r="F9" s="93">
        <f t="shared" si="4"/>
        <v>26023.304971806399</v>
      </c>
      <c r="G9" s="93">
        <f t="shared" si="4"/>
        <v>25838.625122483427</v>
      </c>
      <c r="H9" s="93">
        <f t="shared" si="4"/>
        <v>26423.942127014416</v>
      </c>
      <c r="I9" s="93">
        <f t="shared" si="4"/>
        <v>26960.418027534157</v>
      </c>
      <c r="J9" s="93">
        <f t="shared" si="4"/>
        <v>27444.449814617652</v>
      </c>
      <c r="K9" s="93">
        <f t="shared" si="4"/>
        <v>27872.724156864053</v>
      </c>
      <c r="L9" s="93">
        <f t="shared" si="4"/>
        <v>28242.254805110264</v>
      </c>
      <c r="M9" s="97">
        <f>M7-M8</f>
        <v>22650.041649943818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7.5114325235789078E-2</v>
      </c>
      <c r="D12" s="90">
        <f>C12</f>
        <v>7.5114325235789078E-2</v>
      </c>
      <c r="E12" s="90">
        <f>D12</f>
        <v>7.5114325235789078E-2</v>
      </c>
      <c r="F12" s="90">
        <f>E12</f>
        <v>7.5114325235789078E-2</v>
      </c>
      <c r="G12" s="90">
        <f>F12</f>
        <v>7.5114325235789078E-2</v>
      </c>
      <c r="H12" s="90">
        <f>G12-($G$12-$M$12)/5</f>
        <v>7.2691460188631263E-2</v>
      </c>
      <c r="I12" s="90">
        <f>H12-($G$12-$M$12)/5</f>
        <v>7.0268595141473447E-2</v>
      </c>
      <c r="J12" s="90">
        <f>I12-($G$12-$M$12)/5</f>
        <v>6.7845730094315632E-2</v>
      </c>
      <c r="K12" s="90">
        <f>J12-($G$12-$M$12)/5</f>
        <v>6.5422865047157816E-2</v>
      </c>
      <c r="L12" s="90">
        <f>K12-($G$12-$M$12)/5</f>
        <v>6.3E-2</v>
      </c>
      <c r="M12" s="91">
        <f>IF('Input sheet'!B40="Yes",'Input sheet'!B41,'Input sheet'!B29+0.045)</f>
        <v>6.3E-2</v>
      </c>
    </row>
    <row r="13" spans="1:14" ht="15" customHeight="1">
      <c r="A13" s="46" t="s">
        <v>142</v>
      </c>
      <c r="B13" s="89"/>
      <c r="C13" s="153">
        <f>1/(1+C12)</f>
        <v>0.9301336393045313</v>
      </c>
      <c r="D13" s="153">
        <f>C13*(1/(1+D12))</f>
        <v>0.86514858696589192</v>
      </c>
      <c r="E13" s="153">
        <f t="shared" ref="E13:L13" si="6">D13*(1/(1+E12))</f>
        <v>0.80470380373375783</v>
      </c>
      <c r="F13" s="153">
        <f t="shared" si="6"/>
        <v>0.74848207752907947</v>
      </c>
      <c r="G13" s="153">
        <f t="shared" si="6"/>
        <v>0.696188358726339</v>
      </c>
      <c r="H13" s="153">
        <f t="shared" si="6"/>
        <v>0.64901081491216062</v>
      </c>
      <c r="I13" s="153">
        <f t="shared" si="6"/>
        <v>0.60639994283525733</v>
      </c>
      <c r="J13" s="153">
        <f t="shared" si="6"/>
        <v>0.56787223635917716</v>
      </c>
      <c r="K13" s="153">
        <f t="shared" si="6"/>
        <v>0.53300173573245213</v>
      </c>
      <c r="L13" s="153">
        <f t="shared" si="6"/>
        <v>0.50141273352065119</v>
      </c>
      <c r="M13" s="98"/>
    </row>
    <row r="14" spans="1:14" ht="15" customHeight="1">
      <c r="A14" s="46" t="s">
        <v>21</v>
      </c>
      <c r="B14" s="89"/>
      <c r="C14" s="93">
        <f t="shared" ref="C14:L14" si="7">C9*C13</f>
        <v>24544.543853413157</v>
      </c>
      <c r="D14" s="93">
        <f t="shared" si="7"/>
        <v>22750.27417014047</v>
      </c>
      <c r="E14" s="93">
        <f t="shared" si="7"/>
        <v>21063.369048498022</v>
      </c>
      <c r="F14" s="93">
        <f t="shared" si="7"/>
        <v>19477.977369470478</v>
      </c>
      <c r="G14" s="93">
        <f t="shared" si="7"/>
        <v>17988.550015766887</v>
      </c>
      <c r="H14" s="93">
        <f t="shared" si="7"/>
        <v>17149.424213045397</v>
      </c>
      <c r="I14" s="93">
        <f t="shared" si="7"/>
        <v>16348.795950711354</v>
      </c>
      <c r="J14" s="93">
        <f t="shared" si="7"/>
        <v>15584.941091874131</v>
      </c>
      <c r="K14" s="93">
        <f t="shared" si="7"/>
        <v>14856.210355200388</v>
      </c>
      <c r="L14" s="93">
        <f t="shared" si="7"/>
        <v>14161.026182617083</v>
      </c>
      <c r="M14" s="98"/>
    </row>
    <row r="15" spans="1:14" ht="15" customHeight="1">
      <c r="A15" s="46"/>
      <c r="B15" s="45"/>
      <c r="C15" s="51"/>
      <c r="D15" s="51"/>
      <c r="E15" s="51"/>
      <c r="F15" s="51"/>
      <c r="G15" s="51"/>
      <c r="H15" s="51"/>
      <c r="I15" s="51"/>
      <c r="J15" s="51"/>
      <c r="K15" s="51"/>
      <c r="L15" s="51"/>
    </row>
    <row r="16" spans="1:14" ht="15" customHeight="1">
      <c r="A16" s="48" t="s">
        <v>22</v>
      </c>
      <c r="B16" s="92">
        <f>M9</f>
        <v>22650.041649943818</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503334.25888764043</v>
      </c>
      <c r="C18" s="51"/>
      <c r="D18" s="154"/>
      <c r="E18" s="51"/>
      <c r="F18" s="51"/>
      <c r="G18" s="51"/>
      <c r="H18" s="51"/>
      <c r="I18" s="51"/>
      <c r="J18" s="51"/>
      <c r="K18" s="51"/>
      <c r="L18" s="51"/>
    </row>
    <row r="19" spans="1:12">
      <c r="A19" s="48" t="s">
        <v>24</v>
      </c>
      <c r="B19" s="99">
        <f>B18*L13</f>
        <v>252378.20662344291</v>
      </c>
      <c r="C19" s="51"/>
      <c r="D19" s="51"/>
      <c r="E19" s="51"/>
      <c r="F19" s="51"/>
      <c r="G19" s="51"/>
      <c r="H19" s="51"/>
      <c r="I19" s="51"/>
      <c r="J19" s="51"/>
      <c r="K19" s="51"/>
      <c r="L19" s="51"/>
    </row>
    <row r="20" spans="1:12">
      <c r="A20" s="48" t="s">
        <v>46</v>
      </c>
      <c r="B20" s="99">
        <f>SUM(C14:L14)</f>
        <v>183925.11225073735</v>
      </c>
      <c r="C20" s="51"/>
      <c r="D20" s="51"/>
      <c r="E20" s="51"/>
      <c r="F20" s="51"/>
      <c r="G20" s="51"/>
      <c r="H20" s="51"/>
      <c r="I20" s="51"/>
      <c r="J20" s="51"/>
      <c r="K20" s="51"/>
      <c r="L20" s="51"/>
    </row>
    <row r="21" spans="1:12">
      <c r="A21" s="48" t="s">
        <v>47</v>
      </c>
      <c r="B21" s="99">
        <f>B19+B20</f>
        <v>436303.31887418026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218151.65943709013</v>
      </c>
      <c r="C23" s="51"/>
      <c r="D23" s="51"/>
      <c r="E23" s="51"/>
      <c r="F23" s="51"/>
      <c r="G23" s="51"/>
      <c r="H23" s="51"/>
      <c r="I23" s="51"/>
      <c r="J23" s="51"/>
      <c r="K23" s="51"/>
      <c r="L23" s="51"/>
    </row>
    <row r="24" spans="1:12">
      <c r="A24" s="48" t="s">
        <v>44</v>
      </c>
      <c r="B24" s="92">
        <f>B21*(1-B22)+B23*B22</f>
        <v>436303.31887418026</v>
      </c>
      <c r="C24" s="51"/>
      <c r="D24" s="51"/>
      <c r="E24" s="51"/>
      <c r="F24" s="51"/>
      <c r="G24" s="51"/>
      <c r="H24" s="51"/>
      <c r="I24" s="51"/>
      <c r="J24" s="51"/>
      <c r="K24" s="51"/>
      <c r="L24" s="51"/>
    </row>
    <row r="25" spans="1:12">
      <c r="A25" s="48" t="s">
        <v>384</v>
      </c>
      <c r="B25" s="92">
        <f>IF('Input sheet'!B14="Yes",'Input sheet'!B12+'Operating lease converter'!C28,'Input sheet'!B12)+'Input sheet'!B18</f>
        <v>110063.65215748482</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384912</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711151.66671669541</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711151.66671669541</v>
      </c>
      <c r="C31" s="51"/>
      <c r="D31" s="51"/>
      <c r="E31" s="51"/>
      <c r="F31" s="51"/>
      <c r="G31" s="51"/>
      <c r="H31" s="51"/>
      <c r="I31" s="51"/>
      <c r="J31" s="51"/>
      <c r="K31" s="51"/>
      <c r="L31" s="51"/>
    </row>
    <row r="32" spans="1:12">
      <c r="A32" s="48" t="s">
        <v>13</v>
      </c>
      <c r="B32" s="103">
        <f>'Input sheet'!B19</f>
        <v>1384.1</v>
      </c>
      <c r="C32" s="51"/>
      <c r="D32" s="51"/>
      <c r="E32" s="51"/>
      <c r="F32" s="51"/>
      <c r="G32" s="51"/>
      <c r="H32" s="51"/>
      <c r="I32" s="51"/>
      <c r="J32" s="51"/>
      <c r="K32" s="51"/>
      <c r="L32" s="51"/>
    </row>
    <row r="33" spans="1:13">
      <c r="A33" s="48" t="s">
        <v>93</v>
      </c>
      <c r="B33" s="104">
        <f>B31/B32</f>
        <v>513.8007851431945</v>
      </c>
      <c r="C33" s="51"/>
      <c r="D33" s="51"/>
      <c r="E33" s="51"/>
      <c r="F33" s="51"/>
      <c r="G33" s="51"/>
      <c r="H33" s="51"/>
      <c r="I33" s="51"/>
      <c r="J33" s="51"/>
      <c r="K33" s="51"/>
      <c r="L33" s="51"/>
    </row>
    <row r="34" spans="1:13">
      <c r="A34" s="48" t="s">
        <v>100</v>
      </c>
      <c r="B34" s="105">
        <f>'Input sheet'!B20</f>
        <v>396</v>
      </c>
      <c r="C34" s="51"/>
      <c r="D34" s="51"/>
      <c r="E34" s="51"/>
      <c r="F34" s="51"/>
      <c r="G34" s="51"/>
      <c r="H34" s="51"/>
      <c r="I34" s="51"/>
      <c r="J34" s="51"/>
      <c r="K34" s="51"/>
      <c r="L34" s="51"/>
    </row>
    <row r="35" spans="1:13">
      <c r="A35" s="48" t="s">
        <v>52</v>
      </c>
      <c r="B35" s="95">
        <f>B34/B33</f>
        <v>0.77072673193684627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1.9963909275482719</v>
      </c>
      <c r="D38" s="106">
        <f>C38</f>
        <v>1.9963909275482719</v>
      </c>
      <c r="E38" s="106">
        <f t="shared" ref="E38:L38" si="8">D38</f>
        <v>1.9963909275482719</v>
      </c>
      <c r="F38" s="106">
        <f t="shared" si="8"/>
        <v>1.9963909275482719</v>
      </c>
      <c r="G38" s="106">
        <f t="shared" si="8"/>
        <v>1.9963909275482719</v>
      </c>
      <c r="H38" s="106">
        <f t="shared" si="8"/>
        <v>1.9963909275482719</v>
      </c>
      <c r="I38" s="106">
        <f t="shared" si="8"/>
        <v>1.9963909275482719</v>
      </c>
      <c r="J38" s="106">
        <f t="shared" si="8"/>
        <v>1.9963909275482719</v>
      </c>
      <c r="K38" s="106">
        <f t="shared" si="8"/>
        <v>1.9963909275482719</v>
      </c>
      <c r="L38" s="106">
        <f t="shared" si="8"/>
        <v>1.9963909275482719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126709.65215748482</v>
      </c>
      <c r="C39" s="108">
        <f t="shared" ref="C39:L39" si="9">B39+C8</f>
        <v>130510.94172220936</v>
      </c>
      <c r="D39" s="108">
        <f t="shared" si="9"/>
        <v>134426.26997387566</v>
      </c>
      <c r="E39" s="108">
        <f t="shared" si="9"/>
        <v>138459.05807309193</v>
      </c>
      <c r="F39" s="108">
        <f t="shared" si="9"/>
        <v>142612.82981528467</v>
      </c>
      <c r="G39" s="108">
        <f t="shared" si="9"/>
        <v>146891.21470974322</v>
      </c>
      <c r="H39" s="108">
        <f t="shared" si="9"/>
        <v>150945.41223573216</v>
      </c>
      <c r="I39" s="108">
        <f t="shared" si="9"/>
        <v>154749.2366240726</v>
      </c>
      <c r="J39" s="108">
        <f t="shared" si="9"/>
        <v>158277.51921910144</v>
      </c>
      <c r="K39" s="108">
        <f t="shared" si="9"/>
        <v>161506.3806111711</v>
      </c>
      <c r="L39" s="108">
        <f t="shared" si="9"/>
        <v>164413.49546217217</v>
      </c>
      <c r="M39" s="98"/>
    </row>
    <row r="40" spans="1:13">
      <c r="A40" s="44" t="s">
        <v>19</v>
      </c>
      <c r="B40" s="94">
        <f t="shared" ref="B40:L40" si="10">B7/B39</f>
        <v>0.23788968644841574</v>
      </c>
      <c r="C40" s="90">
        <f t="shared" si="10"/>
        <v>0.23131761881057408</v>
      </c>
      <c r="D40" s="90">
        <f t="shared" si="10"/>
        <v>0.22474555117273243</v>
      </c>
      <c r="E40" s="90">
        <f t="shared" si="10"/>
        <v>0.21817348353489086</v>
      </c>
      <c r="F40" s="90">
        <f t="shared" si="10"/>
        <v>0.2116014158970492</v>
      </c>
      <c r="G40" s="90">
        <f t="shared" si="10"/>
        <v>0.20502934825920757</v>
      </c>
      <c r="H40" s="90">
        <f t="shared" si="10"/>
        <v>0.20191497841223222</v>
      </c>
      <c r="I40" s="90">
        <f t="shared" si="10"/>
        <v>0.19880060856525694</v>
      </c>
      <c r="J40" s="90">
        <f t="shared" si="10"/>
        <v>0.19568623871828164</v>
      </c>
      <c r="K40" s="90">
        <f t="shared" si="10"/>
        <v>0.19257186887130631</v>
      </c>
      <c r="L40" s="110">
        <f t="shared" si="10"/>
        <v>0.18945749902433101</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Berkshire Hathaway</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252962</v>
      </c>
      <c r="C9" s="275">
        <f>'Input sheet'!B24</f>
        <v>0.03</v>
      </c>
      <c r="D9" s="275">
        <f>F9</f>
        <v>1.7999999999999999E-2</v>
      </c>
      <c r="E9" s="276"/>
      <c r="F9" s="275">
        <f>'Valuation output'!M2</f>
        <v>1.7999999999999999E-2</v>
      </c>
      <c r="G9" s="299" t="s">
        <v>744</v>
      </c>
      <c r="H9" s="398" t="s">
        <v>643</v>
      </c>
      <c r="I9" s="399"/>
      <c r="J9" s="399"/>
      <c r="K9" s="400"/>
    </row>
    <row r="10" spans="1:11">
      <c r="A10" s="273" t="s">
        <v>630</v>
      </c>
      <c r="B10" s="275">
        <f>'Valuation output'!B4</f>
        <v>0.1508352804165207</v>
      </c>
      <c r="C10" s="277">
        <f>B10</f>
        <v>0.1508352804165207</v>
      </c>
      <c r="D10" s="278">
        <f>F10</f>
        <v>0.13</v>
      </c>
      <c r="E10" s="278"/>
      <c r="F10" s="275">
        <f>'Valuation output'!M4</f>
        <v>0.13</v>
      </c>
      <c r="G10" s="304" t="s">
        <v>745</v>
      </c>
      <c r="H10" s="401"/>
      <c r="I10" s="402"/>
      <c r="J10" s="402"/>
      <c r="K10" s="403"/>
    </row>
    <row r="11" spans="1:11">
      <c r="A11" s="273" t="s">
        <v>137</v>
      </c>
      <c r="B11" s="275">
        <f>'Valuation output'!B6</f>
        <v>0.21</v>
      </c>
      <c r="C11" s="277">
        <f>B11</f>
        <v>0.21</v>
      </c>
      <c r="D11" s="278">
        <f>F11</f>
        <v>0.27</v>
      </c>
      <c r="E11" s="278"/>
      <c r="F11" s="275">
        <f>'Valuation output'!M6</f>
        <v>0.27</v>
      </c>
      <c r="G11" s="304" t="s">
        <v>746</v>
      </c>
      <c r="H11" s="401"/>
      <c r="I11" s="402"/>
      <c r="J11" s="402"/>
      <c r="K11" s="403"/>
    </row>
    <row r="12" spans="1:11">
      <c r="A12" s="273" t="s">
        <v>631</v>
      </c>
      <c r="B12" s="276"/>
      <c r="C12" s="279" t="s">
        <v>635</v>
      </c>
      <c r="D12" s="280">
        <f>'Input sheet'!B27</f>
        <v>1.9963909275482719</v>
      </c>
      <c r="E12" s="281" t="s">
        <v>647</v>
      </c>
      <c r="F12" s="282">
        <f>'Valuation output'!M2/'Valuation output'!M40</f>
        <v>0.2857142857142857</v>
      </c>
      <c r="G12" s="304" t="s">
        <v>747</v>
      </c>
      <c r="H12" s="401"/>
      <c r="I12" s="402"/>
      <c r="J12" s="402"/>
      <c r="K12" s="403"/>
    </row>
    <row r="13" spans="1:11">
      <c r="A13" s="306" t="s">
        <v>645</v>
      </c>
      <c r="B13" s="310">
        <f>'Valuation output'!B40</f>
        <v>0.23788968644841574</v>
      </c>
      <c r="C13" s="313" t="s">
        <v>646</v>
      </c>
      <c r="D13" s="314">
        <f>Diagnostics!B6</f>
        <v>0.11974310286421523</v>
      </c>
      <c r="E13" s="307"/>
      <c r="F13" s="308">
        <f>'Valuation output'!M40</f>
        <v>6.3E-2</v>
      </c>
      <c r="G13" s="309" t="s">
        <v>748</v>
      </c>
      <c r="H13" s="401"/>
      <c r="I13" s="402"/>
      <c r="J13" s="402"/>
      <c r="K13" s="403"/>
    </row>
    <row r="14" spans="1:11" ht="17" thickBot="1">
      <c r="A14" s="283" t="s">
        <v>632</v>
      </c>
      <c r="B14" s="311"/>
      <c r="C14" s="277">
        <f>'Valuation output'!C12</f>
        <v>7.5114325235789078E-2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260550.86000000002</v>
      </c>
      <c r="C17" s="287">
        <f>'Valuation output'!C4</f>
        <v>0.14666822433321655</v>
      </c>
      <c r="D17" s="274">
        <f>B17*C17</f>
        <v>38214.531984692498</v>
      </c>
      <c r="E17" s="286">
        <f>'Valuation output'!C7</f>
        <v>30189.480267907074</v>
      </c>
      <c r="F17" s="286">
        <f>'Valuation output'!C8</f>
        <v>3801.2895647245523</v>
      </c>
      <c r="G17" s="317">
        <f>E17-F17</f>
        <v>26388.190703182521</v>
      </c>
      <c r="H17" s="410"/>
      <c r="I17" s="411"/>
      <c r="J17" s="411"/>
      <c r="K17" s="412"/>
    </row>
    <row r="18" spans="1:11">
      <c r="A18" s="285">
        <v>2</v>
      </c>
      <c r="B18" s="286">
        <f>'Valuation output'!D3</f>
        <v>268367.38580000005</v>
      </c>
      <c r="C18" s="287">
        <f>'Valuation output'!D4</f>
        <v>0.14250116824991241</v>
      </c>
      <c r="D18" s="274">
        <f t="shared" ref="D18:D27" si="0">B18*C18</f>
        <v>38242.665996674958</v>
      </c>
      <c r="E18" s="286">
        <f>'Valuation output'!D7</f>
        <v>30211.706137373218</v>
      </c>
      <c r="F18" s="286">
        <f>'Valuation output'!D8</f>
        <v>3915.3282516662971</v>
      </c>
      <c r="G18" s="317">
        <f t="shared" ref="G18:G27" si="1">E18-F18</f>
        <v>26296.377885706919</v>
      </c>
      <c r="H18" s="410"/>
      <c r="I18" s="411"/>
      <c r="J18" s="411"/>
      <c r="K18" s="412"/>
    </row>
    <row r="19" spans="1:11">
      <c r="A19" s="285">
        <v>3</v>
      </c>
      <c r="B19" s="286">
        <f>'Valuation output'!E3</f>
        <v>276418.40737400006</v>
      </c>
      <c r="C19" s="287">
        <f>'Valuation output'!E4</f>
        <v>0.13833411216660829</v>
      </c>
      <c r="D19" s="274">
        <f t="shared" si="0"/>
        <v>38238.094970590151</v>
      </c>
      <c r="E19" s="286">
        <f>'Valuation output'!E7</f>
        <v>30208.095026766219</v>
      </c>
      <c r="F19" s="286">
        <f>'Valuation output'!E8</f>
        <v>4032.7880992162759</v>
      </c>
      <c r="G19" s="317">
        <f t="shared" si="1"/>
        <v>26175.306927549944</v>
      </c>
      <c r="H19" s="410"/>
      <c r="I19" s="411"/>
      <c r="J19" s="411"/>
      <c r="K19" s="412"/>
    </row>
    <row r="20" spans="1:11">
      <c r="A20" s="285">
        <v>4</v>
      </c>
      <c r="B20" s="286">
        <f>'Valuation output'!F3</f>
        <v>284710.95959522005</v>
      </c>
      <c r="C20" s="287">
        <f>'Valuation output'!F4</f>
        <v>0.13416705608330415</v>
      </c>
      <c r="D20" s="274">
        <f t="shared" si="0"/>
        <v>38198.83128354323</v>
      </c>
      <c r="E20" s="286">
        <f>'Valuation output'!F7</f>
        <v>30177.076713999151</v>
      </c>
      <c r="F20" s="286">
        <f>'Valuation output'!F8</f>
        <v>4153.7717421927509</v>
      </c>
      <c r="G20" s="317">
        <f t="shared" si="1"/>
        <v>26023.304971806399</v>
      </c>
      <c r="H20" s="410"/>
      <c r="I20" s="411"/>
      <c r="J20" s="411"/>
      <c r="K20" s="412"/>
    </row>
    <row r="21" spans="1:11">
      <c r="A21" s="285">
        <v>5</v>
      </c>
      <c r="B21" s="286">
        <f>'Valuation output'!G3</f>
        <v>293252.28838307667</v>
      </c>
      <c r="C21" s="287">
        <f>'Valuation output'!G4</f>
        <v>0.13</v>
      </c>
      <c r="D21" s="274">
        <f t="shared" si="0"/>
        <v>38122.797489799967</v>
      </c>
      <c r="E21" s="286">
        <f>'Valuation output'!G7</f>
        <v>30117.010016941975</v>
      </c>
      <c r="F21" s="286">
        <f>'Valuation output'!G8</f>
        <v>4278.3848944585498</v>
      </c>
      <c r="G21" s="317">
        <f t="shared" si="1"/>
        <v>25838.625122483427</v>
      </c>
      <c r="H21" s="410"/>
      <c r="I21" s="411"/>
      <c r="J21" s="411"/>
      <c r="K21" s="412"/>
    </row>
    <row r="22" spans="1:11">
      <c r="A22" s="285">
        <v>6</v>
      </c>
      <c r="B22" s="286">
        <f>'Valuation output'!H3</f>
        <v>301346.05154244963</v>
      </c>
      <c r="C22" s="287">
        <f>'Valuation output'!H4</f>
        <v>0.13</v>
      </c>
      <c r="D22" s="274">
        <f t="shared" si="0"/>
        <v>39174.98670051845</v>
      </c>
      <c r="E22" s="286">
        <f>'Valuation output'!H7</f>
        <v>30478.139653003353</v>
      </c>
      <c r="F22" s="286">
        <f>'Valuation output'!H8</f>
        <v>4054.1975259889355</v>
      </c>
      <c r="G22" s="317">
        <f t="shared" si="1"/>
        <v>26423.942127014416</v>
      </c>
      <c r="H22" s="410"/>
      <c r="I22" s="411"/>
      <c r="J22" s="411"/>
      <c r="K22" s="412"/>
    </row>
    <row r="23" spans="1:11">
      <c r="A23" s="285">
        <v>7</v>
      </c>
      <c r="B23" s="286">
        <f>'Valuation output'!I3</f>
        <v>308939.9720413193</v>
      </c>
      <c r="C23" s="287">
        <f>'Valuation output'!I4</f>
        <v>0.13</v>
      </c>
      <c r="D23" s="274">
        <f t="shared" si="0"/>
        <v>40162.196365371514</v>
      </c>
      <c r="E23" s="286">
        <f>'Valuation output'!I7</f>
        <v>30764.242415874578</v>
      </c>
      <c r="F23" s="286">
        <f>'Valuation output'!I8</f>
        <v>3803.824388340422</v>
      </c>
      <c r="G23" s="317">
        <f t="shared" si="1"/>
        <v>26960.418027534157</v>
      </c>
      <c r="H23" s="410"/>
      <c r="I23" s="411"/>
      <c r="J23" s="411"/>
      <c r="K23" s="412"/>
    </row>
    <row r="24" spans="1:11">
      <c r="A24" s="285">
        <v>8</v>
      </c>
      <c r="B24" s="286">
        <f>'Valuation output'!J3</f>
        <v>315983.80340386136</v>
      </c>
      <c r="C24" s="287">
        <f>'Valuation output'!J4</f>
        <v>0.13</v>
      </c>
      <c r="D24" s="274">
        <f t="shared" si="0"/>
        <v>41077.89444250198</v>
      </c>
      <c r="E24" s="286">
        <f>'Valuation output'!J7</f>
        <v>30972.732409646494</v>
      </c>
      <c r="F24" s="286">
        <f>'Valuation output'!J8</f>
        <v>3528.2825950288434</v>
      </c>
      <c r="G24" s="317">
        <f t="shared" si="1"/>
        <v>27444.449814617652</v>
      </c>
      <c r="H24" s="410"/>
      <c r="I24" s="411"/>
      <c r="J24" s="411"/>
      <c r="K24" s="412"/>
    </row>
    <row r="25" spans="1:11">
      <c r="A25" s="285">
        <v>9</v>
      </c>
      <c r="B25" s="286">
        <f>'Valuation output'!K3</f>
        <v>322429.87299330015</v>
      </c>
      <c r="C25" s="287">
        <f>'Valuation output'!K4</f>
        <v>0.13</v>
      </c>
      <c r="D25" s="274">
        <f t="shared" si="0"/>
        <v>41915.883489129017</v>
      </c>
      <c r="E25" s="286">
        <f>'Valuation output'!K7</f>
        <v>31101.58554893373</v>
      </c>
      <c r="F25" s="286">
        <f>'Valuation output'!K8</f>
        <v>3228.8613920696785</v>
      </c>
      <c r="G25" s="317">
        <f t="shared" si="1"/>
        <v>27872.724156864053</v>
      </c>
      <c r="H25" s="410"/>
      <c r="I25" s="411"/>
      <c r="J25" s="411"/>
      <c r="K25" s="412"/>
    </row>
    <row r="26" spans="1:11">
      <c r="A26" s="285">
        <v>10</v>
      </c>
      <c r="B26" s="286">
        <f>'Valuation output'!L3</f>
        <v>328233.61070717953</v>
      </c>
      <c r="C26" s="287">
        <f>'Valuation output'!L4</f>
        <v>0.13</v>
      </c>
      <c r="D26" s="274">
        <f t="shared" si="0"/>
        <v>42670.369391933338</v>
      </c>
      <c r="E26" s="286">
        <f>'Valuation output'!L7</f>
        <v>31149.369656111336</v>
      </c>
      <c r="F26" s="286">
        <f>'Valuation output'!L8</f>
        <v>2907.1148510010698</v>
      </c>
      <c r="G26" s="317">
        <f t="shared" si="1"/>
        <v>28242.254805110264</v>
      </c>
      <c r="H26" s="410"/>
      <c r="I26" s="411"/>
      <c r="J26" s="411"/>
      <c r="K26" s="412"/>
    </row>
    <row r="27" spans="1:11" ht="17" thickBot="1">
      <c r="A27" s="288" t="s">
        <v>45</v>
      </c>
      <c r="B27" s="289">
        <f>'Valuation output'!M3</f>
        <v>334141.81569990877</v>
      </c>
      <c r="C27" s="290">
        <f>'Valuation output'!M4</f>
        <v>0.13</v>
      </c>
      <c r="D27" s="274">
        <f t="shared" si="0"/>
        <v>43438.436040988141</v>
      </c>
      <c r="E27" s="289">
        <f>'Valuation output'!M7</f>
        <v>31710.058309921344</v>
      </c>
      <c r="F27" s="289">
        <f>'Valuation output'!M8</f>
        <v>9060.0166599775257</v>
      </c>
      <c r="G27" s="317">
        <f t="shared" si="1"/>
        <v>22650.041649943818</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503334.25888764043</v>
      </c>
      <c r="E29" s="292"/>
      <c r="F29" s="293"/>
      <c r="G29" s="294"/>
      <c r="H29" s="416" t="s">
        <v>648</v>
      </c>
      <c r="I29" s="417"/>
      <c r="J29" s="417"/>
      <c r="K29" s="417"/>
    </row>
    <row r="30" spans="1:11">
      <c r="A30" s="367" t="s">
        <v>627</v>
      </c>
      <c r="B30" s="368"/>
      <c r="C30" s="369"/>
      <c r="D30" s="295">
        <f>'Valuation output'!B19</f>
        <v>252378.20662344291</v>
      </c>
      <c r="E30" s="296"/>
      <c r="F30" s="297"/>
      <c r="G30" s="298"/>
      <c r="H30" s="416"/>
      <c r="I30" s="417"/>
      <c r="J30" s="417"/>
      <c r="K30" s="417"/>
    </row>
    <row r="31" spans="1:11">
      <c r="A31" s="367" t="s">
        <v>46</v>
      </c>
      <c r="B31" s="368"/>
      <c r="C31" s="369"/>
      <c r="D31" s="295">
        <f>'Valuation output'!B20</f>
        <v>183925.11225073735</v>
      </c>
      <c r="E31" s="296"/>
      <c r="F31" s="297"/>
      <c r="G31" s="298"/>
      <c r="H31" s="416"/>
      <c r="I31" s="417"/>
      <c r="J31" s="417"/>
      <c r="K31" s="417"/>
    </row>
    <row r="32" spans="1:11">
      <c r="A32" s="367" t="s">
        <v>44</v>
      </c>
      <c r="B32" s="368"/>
      <c r="C32" s="369"/>
      <c r="D32" s="295">
        <f>'Valuation output'!B21</f>
        <v>436303.31887418026</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110063.65215748482</v>
      </c>
      <c r="E34" s="296"/>
      <c r="F34" s="297"/>
      <c r="G34" s="298"/>
      <c r="H34" s="416"/>
      <c r="I34" s="417"/>
      <c r="J34" s="417"/>
      <c r="K34" s="417"/>
    </row>
    <row r="35" spans="1:11">
      <c r="A35" s="367" t="s">
        <v>639</v>
      </c>
      <c r="B35" s="368"/>
      <c r="C35" s="369"/>
      <c r="D35" s="295">
        <f>'Valuation output'!B27+'Valuation output'!B28</f>
        <v>384912</v>
      </c>
      <c r="E35" s="296"/>
      <c r="F35" s="297"/>
      <c r="G35" s="298"/>
      <c r="H35" s="416"/>
      <c r="I35" s="417"/>
      <c r="J35" s="417"/>
      <c r="K35" s="417"/>
    </row>
    <row r="36" spans="1:11">
      <c r="A36" s="367" t="s">
        <v>54</v>
      </c>
      <c r="B36" s="368"/>
      <c r="C36" s="369"/>
      <c r="D36" s="295">
        <f>D32-D33-D34+D35</f>
        <v>711151.66671669541</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1384.1</v>
      </c>
      <c r="E38" s="297"/>
      <c r="F38" s="300"/>
      <c r="G38" s="298"/>
      <c r="H38" s="416"/>
      <c r="I38" s="417"/>
      <c r="J38" s="417"/>
      <c r="K38" s="417"/>
    </row>
    <row r="39" spans="1:11" ht="17" thickBot="1">
      <c r="A39" s="422" t="s">
        <v>611</v>
      </c>
      <c r="B39" s="423"/>
      <c r="C39" s="423"/>
      <c r="D39" s="271">
        <f>(D36-D37)/D38</f>
        <v>513.8007851431945</v>
      </c>
      <c r="E39" s="424" t="s">
        <v>641</v>
      </c>
      <c r="F39" s="425"/>
      <c r="G39" s="315">
        <f>'Input sheet'!B20</f>
        <v>396</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126709.65215748482</v>
      </c>
    </row>
    <row r="3" spans="1:4" s="144" customFormat="1" ht="13">
      <c r="A3" s="147" t="s">
        <v>8</v>
      </c>
      <c r="B3" s="148">
        <f>'Valuation output'!L39</f>
        <v>164413.49546217217</v>
      </c>
    </row>
    <row r="4" spans="1:4" s="144" customFormat="1" ht="13">
      <c r="A4" s="147" t="s">
        <v>9</v>
      </c>
      <c r="B4" s="148">
        <f>B3-B2</f>
        <v>37703.843304687354</v>
      </c>
    </row>
    <row r="5" spans="1:4" s="144" customFormat="1" ht="13">
      <c r="A5" s="147" t="s">
        <v>10</v>
      </c>
      <c r="B5" s="148">
        <f>'Valuation output'!L5-'Valuation output'!B5</f>
        <v>4514.7751872094304</v>
      </c>
    </row>
    <row r="6" spans="1:4" s="144" customFormat="1" ht="13">
      <c r="A6" s="147" t="s">
        <v>4</v>
      </c>
      <c r="B6" s="149">
        <f>B5/B4</f>
        <v>0.11974310286421523</v>
      </c>
    </row>
    <row r="7" spans="1:4" s="144" customFormat="1" ht="13">
      <c r="A7" s="147" t="s">
        <v>5</v>
      </c>
      <c r="B7" s="149">
        <f>'Valuation output'!L40</f>
        <v>0.18945749902433101</v>
      </c>
    </row>
    <row r="8" spans="1:4" s="144" customFormat="1" ht="13">
      <c r="A8" s="147" t="s">
        <v>233</v>
      </c>
      <c r="B8" s="149">
        <f>(1/'Valuation output'!L13)^(1/10)-1</f>
        <v>7.1471106141937302E-2</v>
      </c>
    </row>
    <row r="9" spans="1:4" s="144" customFormat="1" ht="14" thickBot="1">
      <c r="A9" s="150" t="s">
        <v>28</v>
      </c>
      <c r="B9" s="151">
        <f>'Valuation output'!B33/'Valuation output'!B34</f>
        <v>1.297476730159582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252962</v>
      </c>
      <c r="D2" s="331">
        <f>'Valuation output'!B4</f>
        <v>0.1508352804165207</v>
      </c>
      <c r="E2" s="330">
        <f>B2*D2</f>
        <v>38155.594204723908</v>
      </c>
      <c r="F2" s="330">
        <f>'Valuation output'!B10</f>
        <v>0</v>
      </c>
      <c r="G2" s="330">
        <f>E2-H2</f>
        <v>8012.6747829920205</v>
      </c>
      <c r="H2" s="330">
        <f>'Valuation output'!B7</f>
        <v>30142.919421731887</v>
      </c>
    </row>
    <row r="3" spans="1:8" s="329" customFormat="1">
      <c r="A3" s="329">
        <v>1</v>
      </c>
      <c r="B3" s="330">
        <f>'Valuation output'!C3</f>
        <v>260550.86000000002</v>
      </c>
      <c r="C3" s="331">
        <f>'Valuation output'!C2</f>
        <v>0.03</v>
      </c>
      <c r="D3" s="331">
        <f>'Valuation output'!C4</f>
        <v>0.14666822433321655</v>
      </c>
      <c r="E3" s="330">
        <f>B3*D3</f>
        <v>38214.531984692498</v>
      </c>
      <c r="F3" s="330">
        <f>'Valuation output'!C10</f>
        <v>0</v>
      </c>
      <c r="G3" s="330">
        <f t="shared" ref="G3:G12" si="0">E3-H3</f>
        <v>8025.0517167854232</v>
      </c>
      <c r="H3" s="330">
        <f>'Valuation output'!C7</f>
        <v>30189.480267907074</v>
      </c>
    </row>
    <row r="4" spans="1:8" s="329" customFormat="1">
      <c r="A4" s="329">
        <v>2</v>
      </c>
      <c r="B4" s="333">
        <f>'Valuation output'!D3</f>
        <v>268367.38580000005</v>
      </c>
      <c r="C4" s="331">
        <f>B4/B3-1</f>
        <v>3.0000000000000027E-2</v>
      </c>
      <c r="D4" s="331">
        <f>'Valuation output'!D4</f>
        <v>0.14250116824991241</v>
      </c>
      <c r="E4" s="330">
        <f t="shared" ref="E4:E12" si="1">B4*D4</f>
        <v>38242.665996674958</v>
      </c>
      <c r="F4" s="330">
        <f>'Valuation output'!D10</f>
        <v>0</v>
      </c>
      <c r="G4" s="330">
        <f t="shared" si="0"/>
        <v>8030.9598593017399</v>
      </c>
      <c r="H4" s="330">
        <f>'Valuation output'!D7</f>
        <v>30211.706137373218</v>
      </c>
    </row>
    <row r="5" spans="1:8" s="329" customFormat="1">
      <c r="A5" s="329">
        <v>3</v>
      </c>
      <c r="B5" s="330">
        <f>'Valuation output'!E3</f>
        <v>276418.40737400006</v>
      </c>
      <c r="C5" s="331">
        <f t="shared" ref="C5:C12" si="2">B5/B4-1</f>
        <v>3.0000000000000027E-2</v>
      </c>
      <c r="D5" s="331">
        <f>'Valuation output'!E4</f>
        <v>0.13833411216660829</v>
      </c>
      <c r="E5" s="330">
        <f t="shared" si="1"/>
        <v>38238.094970590151</v>
      </c>
      <c r="F5" s="330">
        <f>'Valuation output'!E10</f>
        <v>0</v>
      </c>
      <c r="G5" s="330">
        <f t="shared" si="0"/>
        <v>8029.999943823932</v>
      </c>
      <c r="H5" s="330">
        <f>'Valuation output'!E7</f>
        <v>30208.095026766219</v>
      </c>
    </row>
    <row r="6" spans="1:8" s="329" customFormat="1">
      <c r="A6" s="329">
        <v>4</v>
      </c>
      <c r="B6" s="330">
        <f>'Valuation output'!F3</f>
        <v>284710.95959522005</v>
      </c>
      <c r="C6" s="331">
        <f t="shared" si="2"/>
        <v>3.0000000000000027E-2</v>
      </c>
      <c r="D6" s="331">
        <f>'Valuation output'!F4</f>
        <v>0.13416705608330415</v>
      </c>
      <c r="E6" s="330">
        <f t="shared" si="1"/>
        <v>38198.83128354323</v>
      </c>
      <c r="F6" s="330">
        <f>'Valuation output'!F10</f>
        <v>0</v>
      </c>
      <c r="G6" s="330">
        <f t="shared" si="0"/>
        <v>8021.7545695440785</v>
      </c>
      <c r="H6" s="330">
        <f>'Valuation output'!F7</f>
        <v>30177.076713999151</v>
      </c>
    </row>
    <row r="7" spans="1:8" s="329" customFormat="1">
      <c r="A7" s="329">
        <v>5</v>
      </c>
      <c r="B7" s="330">
        <f>'Valuation output'!G3</f>
        <v>293252.28838307667</v>
      </c>
      <c r="C7" s="331">
        <f t="shared" si="2"/>
        <v>3.0000000000000027E-2</v>
      </c>
      <c r="D7" s="331">
        <f>'Valuation output'!G4</f>
        <v>0.13</v>
      </c>
      <c r="E7" s="330">
        <f t="shared" si="1"/>
        <v>38122.797489799967</v>
      </c>
      <c r="F7" s="330">
        <f>'Valuation output'!G10</f>
        <v>0</v>
      </c>
      <c r="G7" s="330">
        <f t="shared" si="0"/>
        <v>8005.7874728579918</v>
      </c>
      <c r="H7" s="330">
        <f>'Valuation output'!G7</f>
        <v>30117.010016941975</v>
      </c>
    </row>
    <row r="8" spans="1:8" s="329" customFormat="1">
      <c r="A8" s="329">
        <v>6</v>
      </c>
      <c r="B8" s="330">
        <f>'Valuation output'!H3</f>
        <v>301346.05154244963</v>
      </c>
      <c r="C8" s="331">
        <f t="shared" si="2"/>
        <v>2.7600000000000069E-2</v>
      </c>
      <c r="D8" s="331">
        <f>'Valuation output'!H4</f>
        <v>0.13</v>
      </c>
      <c r="E8" s="330">
        <f t="shared" si="1"/>
        <v>39174.98670051845</v>
      </c>
      <c r="F8" s="330">
        <f>'Valuation output'!H10</f>
        <v>0</v>
      </c>
      <c r="G8" s="330">
        <f t="shared" si="0"/>
        <v>8696.8470475150971</v>
      </c>
      <c r="H8" s="330">
        <f>'Valuation output'!H7</f>
        <v>30478.139653003353</v>
      </c>
    </row>
    <row r="9" spans="1:8" s="329" customFormat="1">
      <c r="A9" s="329">
        <v>7</v>
      </c>
      <c r="B9" s="330">
        <f>'Valuation output'!I3</f>
        <v>308939.9720413193</v>
      </c>
      <c r="C9" s="331">
        <f t="shared" si="2"/>
        <v>2.5199999999999889E-2</v>
      </c>
      <c r="D9" s="331">
        <f>'Valuation output'!I4</f>
        <v>0.13</v>
      </c>
      <c r="E9" s="330">
        <f t="shared" si="1"/>
        <v>40162.196365371514</v>
      </c>
      <c r="F9" s="330">
        <f>'Valuation output'!I10</f>
        <v>0</v>
      </c>
      <c r="G9" s="330">
        <f t="shared" si="0"/>
        <v>9397.9539494969358</v>
      </c>
      <c r="H9" s="330">
        <f>'Valuation output'!I7</f>
        <v>30764.242415874578</v>
      </c>
    </row>
    <row r="10" spans="1:8" s="329" customFormat="1">
      <c r="A10" s="329">
        <v>8</v>
      </c>
      <c r="B10" s="330">
        <f>'Valuation output'!J3</f>
        <v>315983.80340386136</v>
      </c>
      <c r="C10" s="331">
        <f t="shared" si="2"/>
        <v>2.2799999999999931E-2</v>
      </c>
      <c r="D10" s="331">
        <f>'Valuation output'!J4</f>
        <v>0.13</v>
      </c>
      <c r="E10" s="330">
        <f t="shared" si="1"/>
        <v>41077.89444250198</v>
      </c>
      <c r="F10" s="330">
        <f>'Valuation output'!J10</f>
        <v>0</v>
      </c>
      <c r="G10" s="330">
        <f t="shared" si="0"/>
        <v>10105.162032855485</v>
      </c>
      <c r="H10" s="330">
        <f>'Valuation output'!J7</f>
        <v>30972.732409646494</v>
      </c>
    </row>
    <row r="11" spans="1:8" s="329" customFormat="1">
      <c r="A11" s="329">
        <v>9</v>
      </c>
      <c r="B11" s="330">
        <f>'Valuation output'!K3</f>
        <v>322429.87299330015</v>
      </c>
      <c r="C11" s="331">
        <f t="shared" si="2"/>
        <v>2.0399999999999974E-2</v>
      </c>
      <c r="D11" s="331">
        <f>'Valuation output'!K4</f>
        <v>0.13</v>
      </c>
      <c r="E11" s="330">
        <f t="shared" si="1"/>
        <v>41915.883489129017</v>
      </c>
      <c r="F11" s="330">
        <f>'Valuation output'!K10</f>
        <v>0</v>
      </c>
      <c r="G11" s="330">
        <f t="shared" si="0"/>
        <v>10814.297940195287</v>
      </c>
      <c r="H11" s="330">
        <f>'Valuation output'!K7</f>
        <v>31101.58554893373</v>
      </c>
    </row>
    <row r="12" spans="1:8" s="329" customFormat="1">
      <c r="A12" s="329">
        <v>10</v>
      </c>
      <c r="B12" s="330">
        <f>'Valuation output'!L3</f>
        <v>328233.61070717953</v>
      </c>
      <c r="C12" s="331">
        <f t="shared" si="2"/>
        <v>1.8000000000000016E-2</v>
      </c>
      <c r="D12" s="331">
        <f>'Valuation output'!L4</f>
        <v>0.13</v>
      </c>
      <c r="E12" s="330">
        <f t="shared" si="1"/>
        <v>42670.369391933338</v>
      </c>
      <c r="F12" s="330">
        <f>'Valuation output'!L10</f>
        <v>0</v>
      </c>
      <c r="G12" s="330">
        <f t="shared" si="0"/>
        <v>11520.999735822003</v>
      </c>
      <c r="H12" s="330">
        <f>'Valuation output'!L7</f>
        <v>31149.369656111336</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30142.919421731887</v>
      </c>
      <c r="G15" s="335">
        <f>'Valuation output'!B39</f>
        <v>126709.65215748482</v>
      </c>
      <c r="H15" s="336">
        <f>B15/G15</f>
        <v>0.23788968644841574</v>
      </c>
    </row>
    <row r="16" spans="1:8" s="329" customFormat="1">
      <c r="A16" s="329">
        <f t="shared" ref="A16:A24" si="3">A3</f>
        <v>1</v>
      </c>
      <c r="B16" s="330">
        <f t="shared" ref="B16:B25" si="4">H3</f>
        <v>30189.480267907074</v>
      </c>
      <c r="C16" s="330">
        <f>B3-B2</f>
        <v>7588.8600000000151</v>
      </c>
      <c r="D16" s="334">
        <f>'Valuation output'!C38</f>
        <v>1.9963909275482719</v>
      </c>
      <c r="E16" s="330">
        <f>C16/D16</f>
        <v>3801.2895647245523</v>
      </c>
      <c r="F16" s="330">
        <f>B16-E16</f>
        <v>26388.190703182521</v>
      </c>
      <c r="G16" s="330">
        <f>G15+E16</f>
        <v>130510.94172220936</v>
      </c>
      <c r="H16" s="336">
        <f t="shared" ref="H16:H25" si="5">B16/G16</f>
        <v>0.23131761881057408</v>
      </c>
    </row>
    <row r="17" spans="1:8" s="329" customFormat="1">
      <c r="A17" s="329">
        <f t="shared" si="3"/>
        <v>2</v>
      </c>
      <c r="B17" s="330">
        <f t="shared" si="4"/>
        <v>30211.706137373218</v>
      </c>
      <c r="C17" s="330">
        <f t="shared" ref="C17:C25" si="6">B4-B3</f>
        <v>7816.5258000000322</v>
      </c>
      <c r="D17" s="334">
        <f>'Valuation output'!D38</f>
        <v>1.9963909275482719</v>
      </c>
      <c r="E17" s="330">
        <f t="shared" ref="E17:E25" si="7">C17/D17</f>
        <v>3915.3282516662971</v>
      </c>
      <c r="F17" s="330">
        <f t="shared" ref="F17:F25" si="8">B17-E17</f>
        <v>26296.377885706919</v>
      </c>
      <c r="G17" s="330">
        <f t="shared" ref="G17:G25" si="9">G16+E17</f>
        <v>134426.26997387566</v>
      </c>
      <c r="H17" s="336">
        <f t="shared" si="5"/>
        <v>0.22474555117273243</v>
      </c>
    </row>
    <row r="18" spans="1:8" s="329" customFormat="1">
      <c r="A18" s="329">
        <f t="shared" si="3"/>
        <v>3</v>
      </c>
      <c r="B18" s="330">
        <f t="shared" si="4"/>
        <v>30208.095026766219</v>
      </c>
      <c r="C18" s="330">
        <f t="shared" si="6"/>
        <v>8051.0215740000131</v>
      </c>
      <c r="D18" s="334">
        <f>'Valuation output'!E38</f>
        <v>1.9963909275482719</v>
      </c>
      <c r="E18" s="330">
        <f t="shared" si="7"/>
        <v>4032.7880992162759</v>
      </c>
      <c r="F18" s="330">
        <f t="shared" si="8"/>
        <v>26175.306927549944</v>
      </c>
      <c r="G18" s="330">
        <f t="shared" si="9"/>
        <v>138459.05807309193</v>
      </c>
      <c r="H18" s="336">
        <f t="shared" si="5"/>
        <v>0.21817348353489086</v>
      </c>
    </row>
    <row r="19" spans="1:8" s="329" customFormat="1">
      <c r="A19" s="329">
        <f t="shared" si="3"/>
        <v>4</v>
      </c>
      <c r="B19" s="330">
        <f t="shared" si="4"/>
        <v>30177.076713999151</v>
      </c>
      <c r="C19" s="330">
        <f t="shared" si="6"/>
        <v>8292.5522212199867</v>
      </c>
      <c r="D19" s="334">
        <f>'Valuation output'!F38</f>
        <v>1.9963909275482719</v>
      </c>
      <c r="E19" s="330">
        <f t="shared" si="7"/>
        <v>4153.7717421927509</v>
      </c>
      <c r="F19" s="330">
        <f t="shared" si="8"/>
        <v>26023.304971806399</v>
      </c>
      <c r="G19" s="330">
        <f t="shared" si="9"/>
        <v>142612.82981528467</v>
      </c>
      <c r="H19" s="336">
        <f t="shared" si="5"/>
        <v>0.2116014158970492</v>
      </c>
    </row>
    <row r="20" spans="1:8" s="329" customFormat="1">
      <c r="A20" s="329">
        <f t="shared" si="3"/>
        <v>5</v>
      </c>
      <c r="B20" s="330">
        <f t="shared" si="4"/>
        <v>30117.010016941975</v>
      </c>
      <c r="C20" s="330">
        <f t="shared" si="6"/>
        <v>8541.3287878566189</v>
      </c>
      <c r="D20" s="334">
        <f>'Valuation output'!G38</f>
        <v>1.9963909275482719</v>
      </c>
      <c r="E20" s="330">
        <f t="shared" si="7"/>
        <v>4278.3848944585498</v>
      </c>
      <c r="F20" s="330">
        <f t="shared" si="8"/>
        <v>25838.625122483427</v>
      </c>
      <c r="G20" s="330">
        <f t="shared" si="9"/>
        <v>146891.21470974322</v>
      </c>
      <c r="H20" s="336">
        <f t="shared" si="5"/>
        <v>0.20502934825920757</v>
      </c>
    </row>
    <row r="21" spans="1:8" s="329" customFormat="1">
      <c r="A21" s="329">
        <f t="shared" si="3"/>
        <v>6</v>
      </c>
      <c r="B21" s="330">
        <f t="shared" si="4"/>
        <v>30478.139653003353</v>
      </c>
      <c r="C21" s="330">
        <f t="shared" si="6"/>
        <v>8093.7631593729602</v>
      </c>
      <c r="D21" s="334">
        <f>'Valuation output'!H38</f>
        <v>1.9963909275482719</v>
      </c>
      <c r="E21" s="330">
        <f t="shared" si="7"/>
        <v>4054.1975259889355</v>
      </c>
      <c r="F21" s="330">
        <f t="shared" si="8"/>
        <v>26423.942127014416</v>
      </c>
      <c r="G21" s="330">
        <f t="shared" si="9"/>
        <v>150945.41223573216</v>
      </c>
      <c r="H21" s="336">
        <f t="shared" si="5"/>
        <v>0.20191497841223222</v>
      </c>
    </row>
    <row r="22" spans="1:8" s="329" customFormat="1">
      <c r="A22" s="329">
        <f t="shared" si="3"/>
        <v>7</v>
      </c>
      <c r="B22" s="330">
        <f t="shared" si="4"/>
        <v>30764.242415874578</v>
      </c>
      <c r="C22" s="330">
        <f t="shared" si="6"/>
        <v>7593.9204988696729</v>
      </c>
      <c r="D22" s="334">
        <f>'Valuation output'!I38</f>
        <v>1.9963909275482719</v>
      </c>
      <c r="E22" s="330">
        <f t="shared" si="7"/>
        <v>3803.824388340422</v>
      </c>
      <c r="F22" s="330">
        <f t="shared" si="8"/>
        <v>26960.418027534157</v>
      </c>
      <c r="G22" s="330">
        <f t="shared" si="9"/>
        <v>154749.2366240726</v>
      </c>
      <c r="H22" s="336">
        <f t="shared" si="5"/>
        <v>0.19880060856525694</v>
      </c>
    </row>
    <row r="23" spans="1:8" s="329" customFormat="1">
      <c r="A23" s="329">
        <f t="shared" si="3"/>
        <v>8</v>
      </c>
      <c r="B23" s="330">
        <f t="shared" si="4"/>
        <v>30972.732409646494</v>
      </c>
      <c r="C23" s="330">
        <f t="shared" si="6"/>
        <v>7043.831362542056</v>
      </c>
      <c r="D23" s="334">
        <f>'Valuation output'!J38</f>
        <v>1.9963909275482719</v>
      </c>
      <c r="E23" s="330">
        <f t="shared" si="7"/>
        <v>3528.2825950288434</v>
      </c>
      <c r="F23" s="330">
        <f t="shared" si="8"/>
        <v>27444.449814617652</v>
      </c>
      <c r="G23" s="330">
        <f t="shared" si="9"/>
        <v>158277.51921910144</v>
      </c>
      <c r="H23" s="336">
        <f t="shared" si="5"/>
        <v>0.19568623871828164</v>
      </c>
    </row>
    <row r="24" spans="1:8" s="329" customFormat="1">
      <c r="A24" s="329">
        <f t="shared" si="3"/>
        <v>9</v>
      </c>
      <c r="B24" s="330">
        <f t="shared" si="4"/>
        <v>31101.58554893373</v>
      </c>
      <c r="C24" s="330">
        <f t="shared" si="6"/>
        <v>6446.06958943879</v>
      </c>
      <c r="D24" s="334">
        <f>'Valuation output'!K38</f>
        <v>1.9963909275482719</v>
      </c>
      <c r="E24" s="330">
        <f t="shared" si="7"/>
        <v>3228.8613920696785</v>
      </c>
      <c r="F24" s="330">
        <f t="shared" si="8"/>
        <v>27872.724156864053</v>
      </c>
      <c r="G24" s="330">
        <f t="shared" si="9"/>
        <v>161506.3806111711</v>
      </c>
      <c r="H24" s="336">
        <f t="shared" si="5"/>
        <v>0.19257186887130631</v>
      </c>
    </row>
    <row r="25" spans="1:8" s="329" customFormat="1">
      <c r="A25" s="329">
        <f>A12</f>
        <v>10</v>
      </c>
      <c r="B25" s="330">
        <f t="shared" si="4"/>
        <v>31149.369656111336</v>
      </c>
      <c r="C25" s="330">
        <f t="shared" si="6"/>
        <v>5803.7377138793818</v>
      </c>
      <c r="D25" s="334">
        <f>'Valuation output'!L38</f>
        <v>1.9963909275482719</v>
      </c>
      <c r="E25" s="330">
        <f t="shared" si="7"/>
        <v>2907.1148510010698</v>
      </c>
      <c r="F25" s="330">
        <f t="shared" si="8"/>
        <v>28242.254805110264</v>
      </c>
      <c r="G25" s="330">
        <f t="shared" si="9"/>
        <v>164413.49546217217</v>
      </c>
      <c r="H25" s="336">
        <f t="shared" si="5"/>
        <v>0.18945749902433101</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7.5114325235789078E-2</v>
      </c>
    </row>
    <row r="29" spans="1:8">
      <c r="A29">
        <f t="shared" ref="A29:A37" si="10">A17</f>
        <v>2</v>
      </c>
      <c r="H29" s="324">
        <f>'Valuation output'!D12</f>
        <v>7.5114325235789078E-2</v>
      </c>
    </row>
    <row r="30" spans="1:8">
      <c r="A30">
        <f t="shared" si="10"/>
        <v>3</v>
      </c>
      <c r="H30" s="324">
        <f>'Valuation output'!E12</f>
        <v>7.5114325235789078E-2</v>
      </c>
    </row>
    <row r="31" spans="1:8">
      <c r="A31">
        <f t="shared" si="10"/>
        <v>4</v>
      </c>
      <c r="H31" s="324">
        <f>'Valuation output'!F12</f>
        <v>7.5114325235789078E-2</v>
      </c>
    </row>
    <row r="32" spans="1:8">
      <c r="A32">
        <f t="shared" si="10"/>
        <v>5</v>
      </c>
      <c r="H32" s="324">
        <f>'Valuation output'!G12</f>
        <v>7.5114325235789078E-2</v>
      </c>
    </row>
    <row r="33" spans="1:8">
      <c r="A33">
        <f t="shared" si="10"/>
        <v>6</v>
      </c>
      <c r="H33" s="324">
        <f>'Valuation output'!H12</f>
        <v>7.2691460188631263E-2</v>
      </c>
    </row>
    <row r="34" spans="1:8">
      <c r="A34">
        <f t="shared" si="10"/>
        <v>7</v>
      </c>
      <c r="H34" s="324">
        <f>'Valuation output'!I12</f>
        <v>7.0268595141473447E-2</v>
      </c>
    </row>
    <row r="35" spans="1:8">
      <c r="A35">
        <f t="shared" si="10"/>
        <v>8</v>
      </c>
      <c r="H35" s="324">
        <f>'Valuation output'!J12</f>
        <v>6.7845730094315632E-2</v>
      </c>
    </row>
    <row r="36" spans="1:8">
      <c r="A36">
        <f t="shared" si="10"/>
        <v>9</v>
      </c>
      <c r="H36" s="324">
        <f>'Valuation output'!K12</f>
        <v>6.5422865047157816E-2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7.5114325235789078E-2</v>
      </c>
      <c r="C40" s="338">
        <f>(1+'Summary Sheet'!B40)</f>
        <v>1.0751143252357891</v>
      </c>
      <c r="D40" s="332">
        <f>F16</f>
        <v>26388.190703182521</v>
      </c>
      <c r="F40" s="332">
        <f>D40/C40</f>
        <v>24544.543853413157</v>
      </c>
    </row>
    <row r="41" spans="1:8">
      <c r="A41">
        <f t="shared" ref="A41:A49" si="11">A29</f>
        <v>2</v>
      </c>
      <c r="B41" s="337">
        <f t="shared" ref="B41:B49" si="12">H29</f>
        <v>7.5114325235789078E-2</v>
      </c>
      <c r="C41" s="338">
        <f>C40*(1+B41)</f>
        <v>1.1558708123272061</v>
      </c>
      <c r="D41" s="332">
        <f t="shared" ref="D41:D49" si="13">F17</f>
        <v>26296.377885706919</v>
      </c>
      <c r="F41" s="332">
        <f t="shared" ref="F41:F48" si="14">D41/C41</f>
        <v>22750.27417014047</v>
      </c>
    </row>
    <row r="42" spans="1:8">
      <c r="A42">
        <f t="shared" si="11"/>
        <v>3</v>
      </c>
      <c r="B42" s="337">
        <f t="shared" si="12"/>
        <v>7.5114325235789078E-2</v>
      </c>
      <c r="C42" s="338">
        <f t="shared" ref="C42:C49" si="15">C41*(1+B42)</f>
        <v>1.2426932684549077</v>
      </c>
      <c r="D42" s="332">
        <f t="shared" si="13"/>
        <v>26175.306927549944</v>
      </c>
      <c r="F42" s="332">
        <f t="shared" si="14"/>
        <v>21063.369048498022</v>
      </c>
    </row>
    <row r="43" spans="1:8">
      <c r="A43">
        <f t="shared" si="11"/>
        <v>4</v>
      </c>
      <c r="B43" s="337">
        <f t="shared" si="12"/>
        <v>7.5114325235789078E-2</v>
      </c>
      <c r="C43" s="338">
        <f t="shared" si="15"/>
        <v>1.3360373347899555</v>
      </c>
      <c r="D43" s="332">
        <f t="shared" si="13"/>
        <v>26023.304971806399</v>
      </c>
      <c r="F43" s="332">
        <f t="shared" si="14"/>
        <v>19477.977369470475</v>
      </c>
    </row>
    <row r="44" spans="1:8">
      <c r="A44">
        <f t="shared" si="11"/>
        <v>5</v>
      </c>
      <c r="B44" s="337">
        <f t="shared" si="12"/>
        <v>7.5114325235789078E-2</v>
      </c>
      <c r="C44" s="338">
        <f t="shared" si="15"/>
        <v>1.436392877682525</v>
      </c>
      <c r="D44" s="332">
        <f t="shared" si="13"/>
        <v>25838.625122483427</v>
      </c>
      <c r="F44" s="332">
        <f t="shared" si="14"/>
        <v>17988.550015766887</v>
      </c>
    </row>
    <row r="45" spans="1:8">
      <c r="A45">
        <f t="shared" si="11"/>
        <v>6</v>
      </c>
      <c r="B45" s="337">
        <f t="shared" si="12"/>
        <v>7.2691460188631263E-2</v>
      </c>
      <c r="C45" s="338">
        <f t="shared" si="15"/>
        <v>1.5408063733658177</v>
      </c>
      <c r="D45" s="332">
        <f t="shared" si="13"/>
        <v>26423.942127014416</v>
      </c>
      <c r="F45" s="332">
        <f t="shared" si="14"/>
        <v>17149.424213045393</v>
      </c>
    </row>
    <row r="46" spans="1:8">
      <c r="A46">
        <f t="shared" si="11"/>
        <v>7</v>
      </c>
      <c r="B46" s="337">
        <f t="shared" si="12"/>
        <v>7.0268595141473447E-2</v>
      </c>
      <c r="C46" s="338">
        <f t="shared" si="15"/>
        <v>1.6490766726072623</v>
      </c>
      <c r="D46" s="332">
        <f t="shared" si="13"/>
        <v>26960.418027534157</v>
      </c>
      <c r="F46" s="332">
        <f t="shared" si="14"/>
        <v>16348.79595071135</v>
      </c>
    </row>
    <row r="47" spans="1:8">
      <c r="A47">
        <f t="shared" si="11"/>
        <v>8</v>
      </c>
      <c r="B47" s="337">
        <f t="shared" si="12"/>
        <v>6.7845730094315632E-2</v>
      </c>
      <c r="C47" s="338">
        <f t="shared" si="15"/>
        <v>1.7609594834418067</v>
      </c>
      <c r="D47" s="332">
        <f t="shared" si="13"/>
        <v>27444.449814617652</v>
      </c>
      <c r="F47" s="332">
        <f t="shared" si="14"/>
        <v>15584.941091874129</v>
      </c>
    </row>
    <row r="48" spans="1:8">
      <c r="A48">
        <f t="shared" si="11"/>
        <v>9</v>
      </c>
      <c r="B48" s="337">
        <f t="shared" si="12"/>
        <v>6.5422865047157816E-2</v>
      </c>
      <c r="C48" s="338">
        <f t="shared" si="15"/>
        <v>1.8761664980805328</v>
      </c>
      <c r="D48" s="332">
        <f t="shared" si="13"/>
        <v>27872.724156864053</v>
      </c>
      <c r="F48" s="332">
        <f t="shared" si="14"/>
        <v>14856.210355200385</v>
      </c>
    </row>
    <row r="49" spans="1:6">
      <c r="A49">
        <f t="shared" si="11"/>
        <v>10</v>
      </c>
      <c r="B49" s="337">
        <f t="shared" si="12"/>
        <v>6.3E-2</v>
      </c>
      <c r="C49" s="338">
        <f t="shared" si="15"/>
        <v>1.9943649874596063</v>
      </c>
      <c r="D49" s="332">
        <f t="shared" si="13"/>
        <v>28242.254805110264</v>
      </c>
      <c r="E49" s="332">
        <f>'Valuation output'!B18</f>
        <v>503334.25888764043</v>
      </c>
      <c r="F49" s="332">
        <f>(D49+E49)/C49</f>
        <v>266539.23280605988</v>
      </c>
    </row>
    <row r="50" spans="1:6">
      <c r="A50" t="s">
        <v>44</v>
      </c>
      <c r="F50" s="332">
        <f>SUM(F40:F49)</f>
        <v>436303.31887418014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1384.1</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1384.1</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25" workbookViewId="0">
      <selection activeCell="E50" sqref="E50"/>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1384.1</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396</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1.1438090814341535</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102194</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4212</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463</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2.7999999999999997E-2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7869.6521574848221</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107238.29680810252</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7869.6521574848221</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1.3191644479773241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548103.6</v>
      </c>
      <c r="C48" s="122">
        <f>C41+C42+C43</f>
        <v>115107.94896558733</v>
      </c>
      <c r="D48" s="122">
        <f>B36*B37</f>
        <v>0</v>
      </c>
      <c r="E48" s="121">
        <f>SUM(B48:D48)</f>
        <v>663211.54896558728</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0.82643856376578262</v>
      </c>
      <c r="C49" s="123">
        <f>C48/$E$48</f>
        <v>0.17356143623421741</v>
      </c>
      <c r="D49" s="123">
        <f>D48/$E$48</f>
        <v>0</v>
      </c>
      <c r="E49" s="124">
        <f>SUM(B49:D49)</f>
        <v>1</v>
      </c>
      <c r="F49" s="8"/>
    </row>
    <row r="50" spans="1:11" ht="20" thickBot="1">
      <c r="A50" s="19" t="s">
        <v>203</v>
      </c>
      <c r="B50" s="125">
        <f>B12+C45*B15</f>
        <v>8.6596551294820856E-2</v>
      </c>
      <c r="C50" s="123">
        <f>B25*(1-B26)</f>
        <v>2.0439999999999996E-2</v>
      </c>
      <c r="D50" s="126">
        <f>B38/B37</f>
        <v>7.1428571428571425E-2</v>
      </c>
      <c r="E50" s="127">
        <f>B49*B50+C49*C50+D49*D50</f>
        <v>7.5114325235789078E-2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71</v>
      </c>
      <c r="C11" s="185" t="s">
        <v>408</v>
      </c>
      <c r="D11" s="185"/>
      <c r="E11" s="185"/>
      <c r="F11" s="185"/>
      <c r="G11" s="185"/>
      <c r="H11" s="185"/>
      <c r="I11" s="185"/>
    </row>
    <row r="12" spans="1:10" s="186" customFormat="1" ht="14">
      <c r="A12" s="187">
        <f>IF((0-A11)&lt;$F$6,IF(A11&gt;-1,,A11-1),)</f>
        <v>-2</v>
      </c>
      <c r="B12" s="188">
        <v>68</v>
      </c>
      <c r="C12" s="185" t="s">
        <v>409</v>
      </c>
      <c r="D12" s="185"/>
      <c r="E12" s="185"/>
      <c r="F12" s="185"/>
      <c r="G12" s="185"/>
      <c r="H12" s="185"/>
      <c r="I12" s="185"/>
    </row>
    <row r="13" spans="1:10" s="186" customFormat="1" ht="14">
      <c r="A13" s="187">
        <f t="shared" ref="A13:A20" si="0">IF((0-A12)&lt;$F$6,IF(A12&gt;-1,,A12-1),)</f>
        <v>-3</v>
      </c>
      <c r="B13" s="188">
        <v>62</v>
      </c>
      <c r="C13" s="185"/>
      <c r="D13" s="185"/>
      <c r="E13" s="185"/>
      <c r="F13" s="185"/>
      <c r="G13" s="185"/>
      <c r="H13" s="185"/>
      <c r="I13" s="185"/>
    </row>
    <row r="14" spans="1:10" s="186" customFormat="1" ht="14">
      <c r="A14" s="187">
        <f t="shared" si="0"/>
        <v>-4</v>
      </c>
      <c r="B14" s="188">
        <v>57</v>
      </c>
      <c r="C14" s="185"/>
      <c r="D14" s="185"/>
      <c r="E14" s="185"/>
      <c r="F14" s="185"/>
      <c r="G14" s="185"/>
      <c r="H14" s="185"/>
      <c r="I14" s="185"/>
    </row>
    <row r="15" spans="1:10" s="186" customFormat="1" ht="14">
      <c r="A15" s="187">
        <f t="shared" si="0"/>
        <v>-5</v>
      </c>
      <c r="B15" s="188">
        <v>55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73.5</v>
      </c>
      <c r="C24" s="184">
        <f>1</f>
        <v>1</v>
      </c>
      <c r="D24" s="184">
        <f>B24*C24</f>
        <v>73.5</v>
      </c>
      <c r="E24" s="185"/>
      <c r="F24" s="185"/>
      <c r="G24" s="185"/>
      <c r="H24" s="185"/>
      <c r="I24" s="185"/>
    </row>
    <row r="25" spans="1:9" s="186" customFormat="1" ht="14">
      <c r="A25" s="187">
        <f>A11</f>
        <v>-1</v>
      </c>
      <c r="B25" s="184">
        <f>B11</f>
        <v>71</v>
      </c>
      <c r="C25" s="184">
        <f>IF(A25&lt;0,($F$6+A25)/$F$6,0)</f>
        <v>0.8</v>
      </c>
      <c r="D25" s="184">
        <f>B25*C25</f>
        <v>56.800000000000004</v>
      </c>
      <c r="E25" s="192">
        <f t="shared" ref="E25:E34" si="1">IF(A25&lt;0,B25/$F$6,0)</f>
        <v>14.2</v>
      </c>
      <c r="F25" s="185"/>
      <c r="G25" s="185"/>
      <c r="H25" s="185"/>
      <c r="I25" s="185"/>
    </row>
    <row r="26" spans="1:9" s="186" customFormat="1" ht="14">
      <c r="A26" s="187">
        <f t="shared" ref="A26:B34" si="2">A12</f>
        <v>-2</v>
      </c>
      <c r="B26" s="184">
        <f t="shared" si="2"/>
        <v>68</v>
      </c>
      <c r="C26" s="184">
        <f>IF(A26&lt;0,($F$6+A26)/$F$6,0)</f>
        <v>0.6</v>
      </c>
      <c r="D26" s="184">
        <f t="shared" ref="D26:D34" si="3">B26*C26</f>
        <v>40.799999999999997</v>
      </c>
      <c r="E26" s="192">
        <f t="shared" si="1"/>
        <v>13.6</v>
      </c>
      <c r="F26" s="185"/>
      <c r="G26" s="185"/>
      <c r="H26" s="185"/>
      <c r="I26" s="185"/>
    </row>
    <row r="27" spans="1:9" s="186" customFormat="1" ht="14">
      <c r="A27" s="187">
        <f t="shared" si="2"/>
        <v>-3</v>
      </c>
      <c r="B27" s="184">
        <f t="shared" si="2"/>
        <v>62</v>
      </c>
      <c r="C27" s="184">
        <f>IF(A27&lt;0,($F$6+A27)/$F$6,0)</f>
        <v>0.4</v>
      </c>
      <c r="D27" s="184">
        <f t="shared" si="3"/>
        <v>24.8</v>
      </c>
      <c r="E27" s="192">
        <f t="shared" si="1"/>
        <v>12.4</v>
      </c>
      <c r="F27" s="185"/>
      <c r="G27" s="185"/>
      <c r="H27" s="185"/>
      <c r="I27" s="185"/>
    </row>
    <row r="28" spans="1:9" s="186" customFormat="1" ht="14">
      <c r="A28" s="187">
        <f t="shared" si="2"/>
        <v>-4</v>
      </c>
      <c r="B28" s="184">
        <f t="shared" si="2"/>
        <v>57</v>
      </c>
      <c r="C28" s="184">
        <f t="shared" ref="C28:C34" si="4">IF(A28&lt;0,($F$6+A28)/$F$6,0)</f>
        <v>0.2</v>
      </c>
      <c r="D28" s="184">
        <f t="shared" si="3"/>
        <v>11.4</v>
      </c>
      <c r="E28" s="192">
        <f t="shared" si="1"/>
        <v>11.4</v>
      </c>
      <c r="F28" s="185"/>
      <c r="G28" s="185"/>
      <c r="H28" s="185"/>
      <c r="I28" s="185"/>
    </row>
    <row r="29" spans="1:9" s="186" customFormat="1" ht="14">
      <c r="A29" s="187">
        <f t="shared" si="2"/>
        <v>-5</v>
      </c>
      <c r="B29" s="184">
        <f t="shared" si="2"/>
        <v>55</v>
      </c>
      <c r="C29" s="184">
        <f t="shared" si="4"/>
        <v>0</v>
      </c>
      <c r="D29" s="184">
        <f t="shared" si="3"/>
        <v>0</v>
      </c>
      <c r="E29" s="192">
        <f t="shared" si="1"/>
        <v>11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207.30000000000004</v>
      </c>
      <c r="E35" s="25">
        <f>SUM(E25:E34)</f>
        <v>62.599999999999994</v>
      </c>
    </row>
    <row r="36" spans="1:9" ht="13" thickBot="1"/>
    <row r="37" spans="1:9" s="8" customFormat="1" ht="15" thickBot="1">
      <c r="A37" s="8" t="s">
        <v>415</v>
      </c>
      <c r="D37" s="195">
        <f>E35</f>
        <v>62.599999999999994</v>
      </c>
    </row>
    <row r="38" spans="1:9" s="8" customFormat="1" ht="15" thickBot="1"/>
    <row r="39" spans="1:9" s="8" customFormat="1" ht="14">
      <c r="A39" s="8" t="s">
        <v>416</v>
      </c>
      <c r="D39" s="196">
        <f>F7-D37</f>
        <v>10.900000000000006</v>
      </c>
      <c r="E39" s="8" t="s">
        <v>417</v>
      </c>
    </row>
    <row r="40" spans="1:9" ht="14">
      <c r="A40" t="s">
        <v>418</v>
      </c>
      <c r="D40" s="197">
        <f>D39*'Input sheet'!B22</f>
        <v>2.9430000000000018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1330</v>
      </c>
    </row>
    <row r="5" spans="1:11" s="15" customFormat="1" ht="14">
      <c r="A5" s="15" t="s">
        <v>114</v>
      </c>
    </row>
    <row r="6" spans="1:11" s="8" customFormat="1" ht="14">
      <c r="A6" s="30" t="s">
        <v>115</v>
      </c>
      <c r="B6" s="30" t="s">
        <v>116</v>
      </c>
      <c r="C6" s="8" t="s">
        <v>117</v>
      </c>
    </row>
    <row r="7" spans="1:11" s="8" customFormat="1" ht="14">
      <c r="A7" s="30">
        <v>1</v>
      </c>
      <c r="B7" s="327">
        <v>1360</v>
      </c>
    </row>
    <row r="8" spans="1:11" s="8" customFormat="1" ht="14">
      <c r="A8" s="30">
        <v>2</v>
      </c>
      <c r="B8" s="327">
        <v>1317</v>
      </c>
    </row>
    <row r="9" spans="1:11" s="8" customFormat="1" ht="14">
      <c r="A9" s="30">
        <v>3</v>
      </c>
      <c r="B9" s="327">
        <v>1008</v>
      </c>
    </row>
    <row r="10" spans="1:11" s="8" customFormat="1" ht="14">
      <c r="A10" s="30">
        <v>4</v>
      </c>
      <c r="B10" s="327">
        <v>872</v>
      </c>
    </row>
    <row r="11" spans="1:11" s="8" customFormat="1" ht="14">
      <c r="A11" s="30">
        <v>5</v>
      </c>
      <c r="B11" s="327">
        <v>708</v>
      </c>
    </row>
    <row r="12" spans="1:11" s="8" customFormat="1" ht="14">
      <c r="A12" s="30" t="s">
        <v>118</v>
      </c>
      <c r="B12" s="326">
        <v>3658</v>
      </c>
    </row>
    <row r="13" spans="1:11" s="8" customFormat="1" ht="14"/>
    <row r="14" spans="1:11" s="31" customFormat="1" ht="17" thickBot="1">
      <c r="A14" s="31" t="s">
        <v>119</v>
      </c>
    </row>
    <row r="15" spans="1:11" s="8" customFormat="1" ht="15" thickBot="1">
      <c r="A15" s="8" t="s">
        <v>120</v>
      </c>
      <c r="C15" s="80">
        <f>'Cost of capital worksheet'!B25</f>
        <v>2.7999999999999997E-2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1360</v>
      </c>
      <c r="C22" s="9">
        <f>B22/(1+$C$15)^A22</f>
        <v>1322.9571984435797</v>
      </c>
    </row>
    <row r="23" spans="1:7" s="8" customFormat="1" ht="14">
      <c r="A23" s="19">
        <f t="shared" ref="A23:B26" si="0">A8</f>
        <v>2</v>
      </c>
      <c r="B23" s="28">
        <f t="shared" si="0"/>
        <v>1317</v>
      </c>
      <c r="C23" s="9">
        <f>B23/(1+$C$15)^A23</f>
        <v>1246.2338566821602</v>
      </c>
    </row>
    <row r="24" spans="1:7" s="8" customFormat="1" ht="14">
      <c r="A24" s="19">
        <f t="shared" si="0"/>
        <v>3</v>
      </c>
      <c r="B24" s="28">
        <f t="shared" si="0"/>
        <v>1008</v>
      </c>
      <c r="C24" s="9">
        <f>B24/(1+$C$15)^A24</f>
        <v>927.85729825746046</v>
      </c>
    </row>
    <row r="25" spans="1:7" s="8" customFormat="1" ht="14">
      <c r="A25" s="19">
        <f t="shared" si="0"/>
        <v>4</v>
      </c>
      <c r="B25" s="28">
        <f t="shared" si="0"/>
        <v>872</v>
      </c>
      <c r="C25" s="9">
        <f>B25/(1+$C$15)^A25</f>
        <v>780.80758994243092</v>
      </c>
    </row>
    <row r="26" spans="1:7" s="8" customFormat="1" ht="14">
      <c r="A26" s="19">
        <f t="shared" si="0"/>
        <v>5</v>
      </c>
      <c r="B26" s="28">
        <f t="shared" si="0"/>
        <v>708</v>
      </c>
      <c r="C26" s="9">
        <f>B26/(1+$C$15)^A26</f>
        <v>616.69110511106567</v>
      </c>
    </row>
    <row r="27" spans="1:7" s="8" customFormat="1" ht="15" thickBot="1">
      <c r="A27" s="36" t="str">
        <f>A12</f>
        <v>6 and beyond</v>
      </c>
      <c r="B27" s="37">
        <f>IF(B12&gt;0,IF(D18&gt;0,B12/D18,B12),0)</f>
        <v>914.5</v>
      </c>
      <c r="C27" s="38">
        <f>IF(D18&gt;0,(B27*(1-(1+C15)^(-D18))/C15)/(1+$C$15)^5,B27/(1+C15)^6)</f>
        <v>2975.1051090481251</v>
      </c>
      <c r="D27" s="8" t="s">
        <v>126</v>
      </c>
    </row>
    <row r="28" spans="1:7" s="8" customFormat="1" ht="15" thickBot="1">
      <c r="A28" s="32" t="s">
        <v>127</v>
      </c>
      <c r="B28" s="39"/>
      <c r="C28" s="40">
        <f>SUM(C22:C27)</f>
        <v>7869.6521574848221</v>
      </c>
    </row>
    <row r="29" spans="1:7" s="8" customFormat="1" ht="14"/>
    <row r="30" spans="1:7" s="8" customFormat="1" ht="14">
      <c r="A30" s="15" t="s">
        <v>128</v>
      </c>
    </row>
    <row r="31" spans="1:7" s="8" customFormat="1" ht="15" thickBot="1">
      <c r="A31" s="8" t="s">
        <v>129</v>
      </c>
      <c r="F31" s="38">
        <f>C28/(5+D18)</f>
        <v>874.40579527609134</v>
      </c>
      <c r="G31" s="8" t="s">
        <v>130</v>
      </c>
    </row>
    <row r="32" spans="1:7" s="8" customFormat="1" ht="15" thickBot="1">
      <c r="A32" s="8" t="s">
        <v>131</v>
      </c>
      <c r="F32" s="81">
        <f>E4-F31</f>
        <v>455.59420472390866</v>
      </c>
      <c r="G32" s="8" t="s">
        <v>133</v>
      </c>
    </row>
    <row r="33" spans="1:7" s="8" customFormat="1" ht="15" thickBot="1">
      <c r="A33" s="8" t="s">
        <v>132</v>
      </c>
      <c r="F33" s="41">
        <f>C28</f>
        <v>7869.6521574848221</v>
      </c>
      <c r="G33" s="8" t="s">
        <v>134</v>
      </c>
    </row>
    <row r="34" spans="1:7" ht="14">
      <c r="A34" s="8" t="s">
        <v>489</v>
      </c>
      <c r="F34" s="241">
        <f>C28/(5+D18)</f>
        <v>874.40579527609134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38155.594204723908</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4432.3502604095747</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8.6084338924059018</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2020-02-01T01:33:01Z</dcterms:modified>
</cp:coreProperties>
</file>