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7969D071-62CC-B348-8784-A114F1BAB12E}" xr6:coauthVersionLast="45" xr6:coauthVersionMax="45" xr10:uidLastSave="{00000000-0000-0000-0000-000000000000}"/>
  <bookViews>
    <workbookView xWindow="270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4" l="1"/>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6" i="13"/>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A13" i="25" l="1"/>
  <c r="A14" i="25" s="1"/>
  <c r="J8" i="19"/>
  <c r="K8" i="19" s="1"/>
  <c r="J16" i="19"/>
  <c r="K16" i="19" s="1"/>
  <c r="J7" i="19"/>
  <c r="K7" i="19"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C20" i="28" s="1"/>
  <c r="D20" i="28" s="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D6" i="29" l="1"/>
  <c r="E6" i="29" s="1"/>
  <c r="F5" i="13"/>
  <c r="D5" i="29"/>
  <c r="E5" i="29" s="1"/>
  <c r="E5" i="13"/>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M8" i="13" s="1"/>
  <c r="L13" i="13"/>
  <c r="B8" i="12" s="1"/>
  <c r="F22" i="29"/>
  <c r="D46" i="29" s="1"/>
  <c r="F46" i="29" s="1"/>
  <c r="H22" i="29"/>
  <c r="G10" i="29"/>
  <c r="B23" i="29"/>
  <c r="E25" i="28"/>
  <c r="G25" i="28" s="1"/>
  <c r="H11" i="29"/>
  <c r="K9" i="13"/>
  <c r="K14" i="13" s="1"/>
  <c r="K40" i="13"/>
  <c r="F11" i="29"/>
  <c r="L7" i="13"/>
  <c r="L10" i="13"/>
  <c r="F27" i="28" l="1"/>
  <c r="G27" i="28" s="1"/>
  <c r="M9" i="13"/>
  <c r="B16" i="13" s="1"/>
  <c r="B18" i="13" s="1"/>
  <c r="N8" i="13"/>
  <c r="F13" i="28"/>
  <c r="F12" i="28"/>
  <c r="B19" i="13"/>
  <c r="D30" i="28" s="1"/>
  <c r="G11" i="29"/>
  <c r="B24" i="29"/>
  <c r="F23" i="29"/>
  <c r="D47" i="29" s="1"/>
  <c r="F47" i="29" s="1"/>
  <c r="H23" i="29"/>
  <c r="E26" i="28"/>
  <c r="G26" i="28" s="1"/>
  <c r="L40" i="13"/>
  <c r="L9" i="13"/>
  <c r="L14" i="13" s="1"/>
  <c r="B20" i="13" s="1"/>
  <c r="D31" i="28" s="1"/>
  <c r="H12" i="29"/>
  <c r="M10" i="13"/>
  <c r="F12" i="29"/>
  <c r="E49" i="29" l="1"/>
  <c r="D29" i="28"/>
  <c r="G12" i="29"/>
  <c r="B25" i="29"/>
  <c r="F24" i="29"/>
  <c r="D48" i="29" s="1"/>
  <c r="F48" i="29" s="1"/>
  <c r="H24" i="29"/>
  <c r="J33" i="11"/>
  <c r="B7" i="12"/>
  <c r="B21" i="13"/>
  <c r="B23" i="13" l="1"/>
  <c r="B24" i="13" s="1"/>
  <c r="B29" i="13" s="1"/>
  <c r="D32" i="28"/>
  <c r="F25" i="29"/>
  <c r="D49" i="29" s="1"/>
  <c r="F49" i="29" s="1"/>
  <c r="F50" i="29" s="1"/>
  <c r="H25" i="29"/>
  <c r="D33" i="28" l="1"/>
  <c r="D36" i="28" s="1"/>
  <c r="B30" i="13" l="1"/>
  <c r="D37" i="28" s="1"/>
  <c r="D39" i="28" s="1"/>
  <c r="B31" i="13" l="1"/>
  <c r="B33" i="13" s="1"/>
  <c r="B35" i="13" l="1"/>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rgb="FF000000"/>
            <rFont val="Calibri"/>
            <family val="2"/>
          </rPr>
          <t>Aswath Damodaran:</t>
        </r>
        <r>
          <rPr>
            <sz val="10"/>
            <color rgb="FF000000"/>
            <rFont val="Calibri"/>
            <family val="2"/>
          </rPr>
          <t xml:space="preserve">
</t>
        </r>
        <r>
          <rPr>
            <sz val="10"/>
            <color rgb="FF000000"/>
            <rFont val="Calibri"/>
            <family val="2"/>
          </rPr>
          <t xml:space="preserve">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rgb="FF000000"/>
            <rFont val="Geneva"/>
            <family val="2"/>
          </rPr>
          <t>Aswath Damodaran:</t>
        </r>
        <r>
          <rPr>
            <sz val="9"/>
            <color rgb="FF000000"/>
            <rFont val="Geneva"/>
            <family val="2"/>
          </rPr>
          <t xml:space="preserve">
</t>
        </r>
        <r>
          <rPr>
            <sz val="9"/>
            <color rgb="FF000000"/>
            <rFont val="Geneva"/>
            <family val="2"/>
          </rPr>
          <t>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<sst xmlns="http://schemas.openxmlformats.org/spreadsheetml/2006/main" count="1395" uniqueCount="765">
  <si>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</si>
  <si>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</si>
  <si>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</si>
  <si>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</si>
  <si>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</si>
  <si>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</si>
  <si>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</si>
  <si>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</si>
  <si>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</si>
  <si>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</si>
  <si>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</si>
  <si>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</si>
  <si>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</si>
  <si>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</si>
  <si>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</si>
  <si>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</si>
  <si>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</si>
  <si>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</si>
  <si>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</si>
  <si>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</si>
  <si>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</si>
  <si>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</si>
  <si>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</si>
  <si>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</si>
  <si>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</si>
  <si>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</si>
  <si>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</si>
  <si>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</si>
  <si>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</si>
  <si>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</si>
  <si>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</si>
  <si>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</si>
  <si>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</si>
  <si>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</si>
  <si>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</si>
  <si>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</si>
  <si>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</si>
  <si>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</si>
  <si>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</si>
  <si>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</si>
  <si>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</si>
  <si>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</si>
  <si>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</si>
  <si>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</si>
  <si>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</si>
  <si>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</si>
  <si>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</si>
  <si>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</si>
  <si>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</si>
  <si>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</si>
  <si>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</si>
  <si>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</si>
  <si>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</si>
  <si>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</si>
  <si>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</si>
  <si>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</si>
  <si>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</si>
  <si>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</si>
  <si>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</si>
  <si>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</si>
  <si>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</si>
  <si>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</si>
  <si>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</si>
  <si>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</si>
  <si>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</si>
  <si>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</si>
  <si>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</si>
  <si>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</si>
  <si>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</si>
  <si>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</si>
  <si>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</si>
  <si>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</si>
  <si>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</si>
  <si>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</si>
  <si>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</si>
  <si>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</si>
  <si>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</si>
  <si>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</si>
  <si>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</si>
  <si>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</si>
  <si>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</si>
  <si>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</si>
  <si>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</si>
  <si>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</si>
  <si>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</si>
  <si>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</si>
  <si>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</si>
  <si>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</si>
  <si>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</si>
  <si>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</si>
  <si>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</si>
  <si>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</si>
  <si>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</si>
  <si>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</si>
  <si>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</si>
  <si>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</si>
  <si>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</si>
  <si>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</si>
  <si>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</si>
  <si>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</si>
  <si>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</si>
  <si>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</si>
  <si>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</si>
  <si>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</si>
  <si>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</si>
  <si>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</si>
  <si>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</si>
  <si>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</si>
  <si>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</si>
  <si>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</si>
  <si>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</si>
  <si>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</si>
  <si>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</si>
  <si>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</si>
  <si>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</si>
  <si>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</si>
  <si>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</si>
  <si>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</si>
  <si>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</si>
  <si>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</si>
  <si>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</si>
  <si>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</si>
  <si>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</si>
  <si>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</si>
  <si>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</si>
  <si>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</si>
  <si>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</si>
  <si>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</si>
  <si>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</si>
  <si>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</si>
  <si>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</si>
  <si>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</si>
  <si>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</si>
  <si>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</si>
  <si>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</si>
  <si>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</si>
  <si>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</si>
  <si>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</si>
  <si>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</si>
  <si>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</si>
  <si>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</si>
  <si>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</si>
  <si>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</si>
  <si>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</si>
  <si>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</si>
  <si>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</si>
  <si>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</si>
  <si>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</si>
  <si>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</si>
  <si>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</si>
  <si>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</si>
  <si>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</si>
  <si>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</si>
  <si>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</si>
  <si>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</si>
  <si>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</si>
  <si>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</si>
  <si>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</si>
  <si>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</si>
  <si>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</si>
  <si>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</si>
  <si>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</si>
  <si>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</si>
  <si>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</si>
  <si>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</si>
  <si>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</si>
  <si>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</si>
  <si>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</si>
  <si>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</si>
  <si>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</si>
  <si>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</si>
  <si>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</si>
  <si>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</si>
  <si>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</si>
  <si>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</si>
  <si>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</si>
  <si>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</si>
  <si>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</si>
  <si>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</si>
  <si>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</si>
  <si>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</si>
  <si>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</si>
  <si>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</si>
  <si>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</si>
  <si>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</si>
  <si>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</si>
  <si>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</si>
  <si>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</si>
  <si>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</si>
  <si>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</si>
  <si>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</si>
  <si>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</si>
  <si>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</si>
  <si>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</si>
  <si>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</si>
  <si>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</si>
  <si>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</si>
  <si>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</si>
  <si>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</si>
  <si>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</si>
  <si>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</si>
  <si>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</si>
  <si>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</si>
  <si>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</si>
  <si>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</si>
  <si>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</si>
  <si>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</si>
  <si>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</si>
  <si>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</si>
  <si>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</si>
  <si>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</si>
  <si>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</si>
  <si>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</si>
  <si>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</si>
  <si>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</si>
  <si>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</si>
  <si>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</si>
  <si>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</si>
  <si>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</si>
  <si>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</si>
  <si>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</si>
  <si>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</si>
  <si>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</si>
  <si>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</si>
  <si>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</si>
  <si>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</si>
  <si>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</si>
  <si>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</si>
  <si>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</si>
  <si>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</si>
  <si>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</si>
  <si>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</si>
  <si>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</si>
  <si>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</si>
  <si>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</si>
  <si>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</si>
  <si>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</si>
  <si>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</si>
  <si>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</si>
  <si>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</si>
  <si>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</si>
  <si>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</si>
  <si>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</si>
  <si>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</si>
  <si>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</si>
  <si>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</si>
  <si>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</si>
  <si>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</si>
  <si>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</si>
  <si>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</si>
  <si>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</si>
  <si>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</si>
  <si>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</si>
  <si>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</si>
  <si>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</si>
  <si>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</si>
  <si>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</si>
  <si>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</si>
  <si>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</si>
  <si>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</si>
  <si>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</si>
  <si>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</si>
  <si>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</si>
  <si>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</si>
  <si>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</si>
  <si>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</si>
  <si>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</si>
  <si>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</si>
  <si>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</si>
  <si>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</si>
  <si>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</si>
  <si>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</si>
  <si>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</si>
  <si>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</si>
  <si>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</si>
  <si>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</si>
  <si>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</si>
  <si>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</si>
  <si>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</si>
  <si>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</si>
  <si>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</si>
  <si>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</si>
  <si>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</si>
  <si>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</si>
  <si>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</si>
  <si>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</si>
  <si>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</si>
  <si>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</si>
  <si>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</si>
  <si>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</si>
  <si>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</si>
  <si>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</si>
  <si>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</si>
  <si>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</si>
  <si>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</si>
  <si>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</si>
  <si>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</si>
  <si>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</si>
  <si>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</si>
  <si>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</si>
  <si>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</si>
  <si>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</si>
  <si>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</si>
  <si>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</si>
  <si>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</si>
  <si>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</si>
  <si>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</si>
  <si>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</si>
  <si>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</si>
  <si>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</si>
  <si>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</si>
  <si>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</si>
  <si>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</si>
  <si>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</si>
  <si>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</si>
  <si>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</si>
  <si>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</si>
  <si>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</si>
  <si>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</si>
  <si>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</si>
  <si>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</si>
  <si>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</si>
  <si>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</si>
  <si>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</si>
  <si>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</si>
  <si>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</si>
  <si>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</si>
  <si>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</si>
  <si>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</si>
  <si>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</si>
  <si>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</si>
  <si>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</si>
  <si>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</si>
  <si>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</si>
  <si>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</si>
  <si>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</si>
  <si>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</si>
  <si>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</si>
  <si>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</si>
  <si>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</si>
  <si>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</si>
  <si>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</si>
  <si>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</si>
  <si>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</si>
  <si>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</si>
  <si>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</si>
  <si>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</si>
  <si>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</si>
  <si>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</si>
  <si>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</si>
  <si>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</si>
  <si>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</si>
  <si>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</si>
  <si>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</si>
  <si>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</si>
  <si>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</si>
  <si>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</si>
  <si>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</si>
  <si>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</si>
  <si>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</si>
  <si>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</si>
  <si>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</si>
  <si>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</si>
  <si>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</si>
  <si>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</si>
  <si>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</si>
  <si>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</si>
  <si>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</si>
  <si>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</si>
  <si>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</si>
  <si>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</si>
  <si>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</si>
  <si>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</si>
  <si>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</si>
  <si>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</si>
  <si>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</si>
  <si>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</si>
  <si>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</si>
  <si>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</si>
  <si>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</si>
  <si>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</si>
  <si>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</si>
  <si>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</si>
  <si>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</si>
  <si>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</si>
  <si>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</si>
  <si>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</si>
  <si>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</si>
  <si>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</si>
  <si>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</si>
  <si>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</si>
  <si>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</si>
  <si>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</si>
  <si>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</si>
  <si>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</si>
  <si>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</si>
  <si>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</si>
  <si>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</si>
  <si>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</si>
  <si>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</si>
  <si>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</si>
  <si>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</si>
  <si>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</si>
  <si>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</si>
  <si>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</si>
  <si>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</si>
  <si>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</si>
  <si>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</si>
  <si>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</si>
  <si>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</si>
  <si>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</si>
  <si>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</si>
  <si>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</si>
  <si>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</si>
  <si>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</si>
  <si>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</si>
  <si>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</si>
  <si>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</si>
  <si>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</si>
  <si>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</si>
  <si>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</si>
  <si>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</si>
  <si>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</si>
  <si>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</si>
  <si>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</si>
  <si>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</si>
  <si>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</si>
  <si>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</si>
  <si>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</si>
  <si>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</si>
  <si>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</si>
  <si>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</si>
  <si>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</si>
  <si>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</si>
  <si>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</si>
  <si>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</si>
  <si>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</si>
  <si>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</si>
  <si>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</si>
  <si>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</si>
  <si>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</si>
  <si>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</si>
  <si>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</si>
  <si>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</si>
  <si>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</si>
  <si>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</si>
  <si>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</si>
  <si>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</si>
  <si>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</si>
  <si>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</si>
  <si>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</si>
  <si>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</si>
  <si>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</si>
  <si>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</si>
  <si>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</si>
  <si>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</si>
  <si>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</si>
  <si>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</si>
  <si>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</si>
  <si>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</si>
  <si>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</si>
  <si>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</si>
  <si>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</si>
  <si>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</si>
  <si>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</si>
  <si>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</si>
  <si>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</si>
  <si>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</si>
  <si>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</si>
  <si>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</si>
  <si>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</si>
  <si>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</si>
  <si>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</si>
  <si>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</si>
  <si>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</si>
  <si>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</si>
  <si>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</si>
  <si>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</si>
  <si>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</si>
  <si>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</si>
  <si>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</si>
  <si>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</si>
  <si>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</si>
  <si>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</si>
  <si>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</si>
  <si>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</si>
  <si>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</si>
  <si>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</si>
  <si>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</si>
  <si>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</si>
  <si>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</si>
  <si>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</si>
  <si>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</si>
  <si>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</si>
  <si>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</si>
  <si>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</si>
  <si>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</si>
  <si>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</si>
  <si>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</si>
  <si>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</si>
  <si>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</si>
  <si>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</si>
  <si>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</si>
  <si>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</si>
  <si>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</si>
  <si>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</si>
  <si>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</si>
  <si>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</si>
  <si>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</si>
  <si>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</si>
  <si>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</si>
  <si>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</si>
  <si>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</si>
  <si>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</si>
  <si>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</si>
  <si>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</si>
  <si>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</si>
  <si>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</si>
  <si>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</si>
  <si>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</si>
  <si>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</si>
  <si>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</si>
  <si>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</si>
  <si>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</si>
  <si>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</si>
  <si>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</si>
  <si>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</si>
  <si>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</si>
  <si>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</si>
  <si>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</si>
  <si>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</si>
  <si>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</si>
  <si>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</si>
  <si>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</si>
  <si>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</si>
  <si>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</si>
  <si>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</si>
  <si>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</si>
  <si>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</si>
  <si>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</si>
  <si>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</si>
  <si>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</si>
  <si>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</si>
  <si>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</si>
  <si>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</si>
  <si>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</si>
  <si>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</si>
  <si>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</si>
  <si>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</si>
  <si>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</si>
  <si>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</si>
  <si>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</si>
  <si>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</si>
  <si>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</si>
  <si>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</si>
  <si>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</si>
  <si>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</si>
  <si>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</si>
  <si>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</si>
  <si>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</si>
  <si>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</si>
  <si>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</si>
  <si>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</si>
  <si>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</si>
  <si>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</si>
  <si>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</si>
  <si>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</si>
  <si>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</si>
  <si>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</si>
  <si>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</si>
  <si>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</si>
  <si>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</si>
  <si>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</si>
  <si>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</si>
  <si>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</si>
  <si>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</si>
  <si>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</si>
  <si>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</si>
  <si>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</si>
  <si>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</si>
  <si>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</si>
  <si>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</si>
  <si>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</si>
  <si>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</si>
  <si>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</si>
  <si>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</si>
  <si>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</si>
  <si>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</si>
  <si>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</si>
  <si>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</si>
  <si>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</si>
  <si>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</si>
  <si>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</si>
  <si>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</si>
  <si>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</si>
  <si>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</si>
  <si>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</si>
  <si>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</si>
  <si>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</si>
  <si>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</si>
  <si>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</si>
  <si>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</si>
  <si>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</si>
  <si>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</si>
  <si>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</si>
  <si>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</si>
  <si>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</si>
  <si>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</si>
  <si>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</si>
  <si>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</si>
  <si>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</si>
  <si>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</si>
  <si>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</si>
  <si>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</si>
  <si>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</si>
  <si>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</si>
  <si>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</si>
  <si>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</si>
  <si>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</si>
  <si>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</si>
  <si>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</si>
  <si>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</si>
  <si>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</si>
  <si>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</si>
  <si>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</si>
  <si>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</si>
  <si>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</si>
  <si>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</si>
  <si>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</si>
  <si>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</si>
  <si>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</si>
  <si>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</si>
  <si>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</si>
  <si>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</si>
  <si>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</si>
  <si>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</si>
  <si>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</si>
  <si>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</si>
  <si>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</si>
  <si>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</si>
  <si>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</si>
  <si>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</si>
  <si>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</si>
  <si>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</si>
  <si>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</si>
  <si>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</si>
  <si>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</si>
  <si>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</si>
  <si>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</si>
  <si>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</si>
  <si>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</si>
  <si>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</si>
  <si>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</si>
  <si>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</si>
  <si>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</si>
  <si>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</si>
  <si>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</si>
  <si>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</si>
  <si>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</si>
  <si>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</si>
  <si>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</si>
  <si>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</si>
  <si>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</si>
  <si>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</si>
  <si>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</si>
  <si>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</si>
  <si>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</si>
  <si>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</si>
  <si>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</si>
  <si>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</si>
  <si>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</si>
  <si>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</si>
  <si>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</si>
  <si>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</si>
  <si>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</si>
  <si>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</si>
  <si>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</si>
  <si>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</si>
  <si>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</si>
  <si>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</si>
  <si>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</si>
  <si>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</si>
  <si>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</si>
  <si>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</si>
  <si>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</si>
  <si>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</si>
  <si>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</si>
  <si>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</si>
  <si>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</si>
  <si>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</si>
  <si>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</si>
  <si>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</si>
  <si>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</si>
  <si>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</si>
  <si>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</si>
  <si>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</si>
  <si>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</si>
  <si>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</si>
  <si>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</si>
  <si>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</si>
  <si>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</si>
  <si>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</si>
  <si>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</si>
  <si>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</si>
  <si>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</si>
  <si>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</si>
  <si>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</si>
  <si>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</si>
  <si>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</si>
  <si>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</si>
  <si>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</si>
  <si>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</si>
  <si>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</si>
  <si>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</si>
  <si>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</si>
  <si>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</si>
  <si>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</si>
  <si>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</si>
  <si>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</si>
  <si>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</si>
  <si>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</si>
  <si>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</si>
  <si>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</si>
  <si>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</si>
  <si>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</si>
  <si>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</si>
  <si>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</si>
  <si>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</si>
  <si>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</si>
  <si>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</si>
  <si>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</si>
  <si>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</si>
  <si>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</si>
  <si>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</si>
  <si>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</si>
  <si>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</si>
  <si>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</si>
  <si>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</si>
  <si>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</si>
  <si>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</si>
  <si>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</si>
  <si>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</si>
  <si>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</si>
  <si>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</si>
  <si>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</si>
  <si>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</si>
  <si>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</si>
  <si>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</si>
  <si>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</si>
  <si>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</si>
  <si>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</si>
  <si>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</si>
  <si>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</si>
  <si>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</si>
  <si>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</si>
  <si>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</si>
  <si>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</si>
  <si>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</si>
  <si>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</si>
  <si>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</si>
  <si>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</si>
  <si>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</si>
  <si>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</si>
  <si>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</si>
  <si>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S&amp;P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</si>
</sst>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9">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1">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8"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9"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8"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50"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51"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2"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51"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52" fillId="0" borderId="0" xfId="0" applyFont="1"/>
    <xf numFmtId="0" fontId="53" fillId="0" borderId="31" xfId="0" applyFont="1" applyBorder="1" applyAlignment="1">
      <alignment horizontal="center"/>
    </xf>
    <xf numFmtId="0" fontId="53" fillId="0" borderId="14" xfId="0" applyFont="1" applyBorder="1" applyAlignment="1">
      <alignment horizontal="center"/>
    </xf>
    <xf numFmtId="16" fontId="53" fillId="0" borderId="14" xfId="0" applyNumberFormat="1" applyFont="1" applyBorder="1" applyAlignment="1">
      <alignment horizontal="center"/>
    </xf>
    <xf numFmtId="0" fontId="53" fillId="0" borderId="32" xfId="0" applyFont="1" applyFill="1" applyBorder="1" applyAlignment="1">
      <alignment horizontal="center"/>
    </xf>
    <xf numFmtId="0" fontId="53" fillId="0" borderId="33" xfId="0" applyFont="1" applyBorder="1"/>
    <xf numFmtId="166" fontId="47" fillId="0" borderId="34" xfId="2" applyFont="1" applyBorder="1"/>
    <xf numFmtId="0" fontId="54" fillId="0" borderId="35" xfId="0" applyFont="1" applyBorder="1"/>
    <xf numFmtId="0" fontId="54" fillId="0" borderId="36" xfId="0" applyFont="1" applyBorder="1"/>
    <xf numFmtId="171" fontId="54" fillId="0" borderId="1" xfId="2" applyNumberFormat="1" applyFont="1" applyBorder="1" applyAlignment="1">
      <alignment horizontal="center"/>
    </xf>
    <xf numFmtId="10" fontId="54" fillId="0" borderId="1" xfId="0" applyNumberFormat="1" applyFont="1" applyBorder="1" applyAlignment="1">
      <alignment horizontal="center"/>
    </xf>
    <xf numFmtId="0" fontId="54" fillId="0" borderId="1" xfId="0" applyFont="1" applyBorder="1" applyAlignment="1">
      <alignment horizontal="center"/>
    </xf>
    <xf numFmtId="10" fontId="54" fillId="0" borderId="13" xfId="0" applyNumberFormat="1" applyFont="1" applyBorder="1" applyAlignment="1">
      <alignment horizontal="center"/>
    </xf>
    <xf numFmtId="10" fontId="54" fillId="0" borderId="18" xfId="0" applyNumberFormat="1" applyFont="1" applyBorder="1" applyAlignment="1">
      <alignment horizontal="center"/>
    </xf>
    <xf numFmtId="2" fontId="54" fillId="0" borderId="13" xfId="0" applyNumberFormat="1" applyFont="1" applyBorder="1" applyAlignment="1"/>
    <xf numFmtId="2" fontId="54" fillId="0" borderId="18" xfId="0" applyNumberFormat="1" applyFont="1" applyBorder="1" applyAlignment="1">
      <alignment horizontal="left"/>
    </xf>
    <xf numFmtId="10" fontId="54" fillId="0" borderId="13" xfId="3" applyNumberFormat="1" applyFont="1" applyBorder="1" applyAlignment="1">
      <alignment horizontal="right"/>
    </xf>
    <xf numFmtId="10" fontId="54" fillId="0" borderId="18" xfId="3" applyNumberFormat="1" applyFont="1" applyBorder="1" applyAlignment="1">
      <alignment horizontal="center"/>
    </xf>
    <xf numFmtId="0" fontId="54" fillId="0" borderId="37" xfId="0" applyFont="1" applyFill="1" applyBorder="1"/>
    <xf numFmtId="10" fontId="54" fillId="0" borderId="25" xfId="0" applyNumberFormat="1" applyFont="1" applyBorder="1" applyAlignment="1">
      <alignment horizontal="center"/>
    </xf>
    <xf numFmtId="0" fontId="54" fillId="0" borderId="36" xfId="0" applyFont="1" applyBorder="1" applyAlignment="1">
      <alignment horizontal="center"/>
    </xf>
    <xf numFmtId="175" fontId="54" fillId="0" borderId="1" xfId="2" applyNumberFormat="1" applyFont="1" applyBorder="1"/>
    <xf numFmtId="10" fontId="54" fillId="0" borderId="1" xfId="3" applyNumberFormat="1" applyFont="1" applyBorder="1" applyAlignment="1">
      <alignment horizontal="center"/>
    </xf>
    <xf numFmtId="0" fontId="54" fillId="0" borderId="37" xfId="0" applyFont="1" applyBorder="1" applyAlignment="1">
      <alignment horizontal="center"/>
    </xf>
    <xf numFmtId="175" fontId="54" fillId="0" borderId="25" xfId="2" applyNumberFormat="1" applyFont="1" applyBorder="1"/>
    <xf numFmtId="10" fontId="54" fillId="0" borderId="25" xfId="3" applyNumberFormat="1" applyFont="1" applyBorder="1" applyAlignment="1">
      <alignment horizontal="center"/>
    </xf>
    <xf numFmtId="171" fontId="54" fillId="0" borderId="33" xfId="2" applyNumberFormat="1" applyFont="1" applyFill="1" applyBorder="1"/>
    <xf numFmtId="171" fontId="54" fillId="0" borderId="6" xfId="2" applyNumberFormat="1" applyFont="1" applyFill="1" applyBorder="1"/>
    <xf numFmtId="0" fontId="54" fillId="0" borderId="6" xfId="0" applyFont="1" applyBorder="1"/>
    <xf numFmtId="0" fontId="54" fillId="0" borderId="7" xfId="0" applyFont="1" applyBorder="1"/>
    <xf numFmtId="171" fontId="54" fillId="0" borderId="1" xfId="2" applyNumberFormat="1" applyFont="1" applyFill="1" applyBorder="1"/>
    <xf numFmtId="171" fontId="54" fillId="0" borderId="0" xfId="2" applyNumberFormat="1" applyFont="1" applyFill="1" applyBorder="1"/>
    <xf numFmtId="0" fontId="54" fillId="0" borderId="0" xfId="0" applyFont="1" applyBorder="1"/>
    <xf numFmtId="0" fontId="54" fillId="0" borderId="12" xfId="0" applyFont="1" applyBorder="1"/>
    <xf numFmtId="0" fontId="54" fillId="0" borderId="5" xfId="0" applyFont="1" applyFill="1" applyBorder="1" applyAlignment="1">
      <alignment horizontal="left"/>
    </xf>
    <xf numFmtId="0" fontId="54" fillId="0" borderId="0" xfId="0" applyFont="1" applyBorder="1" applyAlignment="1">
      <alignment horizontal="left"/>
    </xf>
    <xf numFmtId="0" fontId="54" fillId="0" borderId="0" xfId="0" applyFont="1"/>
    <xf numFmtId="0" fontId="54" fillId="0" borderId="0" xfId="0" applyFont="1" applyAlignment="1">
      <alignment horizontal="left"/>
    </xf>
    <xf numFmtId="43" fontId="54" fillId="0" borderId="1" xfId="0" applyNumberFormat="1" applyFont="1" applyBorder="1"/>
    <xf numFmtId="0" fontId="54" fillId="0" borderId="5" xfId="0" applyFont="1" applyBorder="1"/>
    <xf numFmtId="0" fontId="54" fillId="0" borderId="38" xfId="0" applyFont="1" applyBorder="1"/>
    <xf numFmtId="0" fontId="54" fillId="0" borderId="39" xfId="0" applyFont="1" applyBorder="1"/>
    <xf numFmtId="10" fontId="54" fillId="0" borderId="20" xfId="3" applyNumberFormat="1" applyFont="1" applyBorder="1" applyAlignment="1">
      <alignment horizontal="right"/>
    </xf>
    <xf numFmtId="10" fontId="54" fillId="0" borderId="17" xfId="3" applyNumberFormat="1" applyFont="1" applyBorder="1" applyAlignment="1">
      <alignment horizontal="center"/>
    </xf>
    <xf numFmtId="0" fontId="54" fillId="0" borderId="16" xfId="0" applyFont="1" applyBorder="1"/>
    <xf numFmtId="10" fontId="54" fillId="0" borderId="3" xfId="0" applyNumberFormat="1" applyFont="1" applyBorder="1" applyAlignment="1">
      <alignment horizontal="center"/>
    </xf>
    <xf numFmtId="0" fontId="54" fillId="0" borderId="34" xfId="0" applyFont="1" applyBorder="1" applyAlignment="1">
      <alignment horizontal="center"/>
    </xf>
    <xf numFmtId="0" fontId="54" fillId="0" borderId="40" xfId="0" applyFont="1" applyBorder="1" applyAlignment="1">
      <alignment horizontal="center"/>
    </xf>
    <xf numFmtId="2" fontId="54" fillId="0" borderId="15" xfId="0" applyNumberFormat="1" applyFont="1" applyBorder="1" applyAlignment="1"/>
    <xf numFmtId="10" fontId="54" fillId="0" borderId="17" xfId="3" applyNumberFormat="1" applyFont="1" applyBorder="1" applyAlignment="1">
      <alignment horizontal="left"/>
    </xf>
    <xf numFmtId="167" fontId="54" fillId="0" borderId="41" xfId="0" applyNumberFormat="1" applyFont="1" applyBorder="1" applyAlignment="1">
      <alignment horizontal="left"/>
    </xf>
    <xf numFmtId="0" fontId="53" fillId="0" borderId="42" xfId="0" applyFont="1" applyBorder="1" applyAlignment="1">
      <alignment horizontal="left"/>
    </xf>
    <xf numFmtId="175" fontId="54" fillId="0" borderId="13" xfId="2" applyNumberFormat="1" applyFont="1" applyBorder="1" applyAlignment="1">
      <alignment horizontal="left"/>
    </xf>
    <xf numFmtId="171" fontId="54" fillId="0" borderId="13" xfId="2" applyNumberFormat="1" applyFont="1" applyFill="1" applyBorder="1"/>
    <xf numFmtId="10" fontId="54"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51"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51" fillId="4" borderId="1" xfId="0" applyFont="1" applyFill="1" applyBorder="1"/>
    <xf numFmtId="173" fontId="39" fillId="0" borderId="0" xfId="0" applyNumberFormat="1" applyFont="1" applyAlignment="1">
      <alignment horizontal="right"/>
    </xf>
    <xf numFmtId="0" fontId="55" fillId="0" borderId="43" xfId="0" applyFont="1" applyBorder="1" applyAlignment="1">
      <alignment vertical="center" wrapText="1"/>
    </xf>
    <xf numFmtId="0" fontId="56" fillId="0" borderId="0" xfId="0" applyFont="1"/>
    <xf numFmtId="166" fontId="56" fillId="0" borderId="0" xfId="0" applyNumberFormat="1" applyFont="1"/>
    <xf numFmtId="10" fontId="56" fillId="0" borderId="0" xfId="0" applyNumberFormat="1" applyFont="1"/>
    <xf numFmtId="166" fontId="0" fillId="0" borderId="0" xfId="0" applyNumberFormat="1"/>
    <xf numFmtId="166" fontId="44" fillId="0" borderId="0" xfId="0" applyNumberFormat="1" applyFont="1"/>
    <xf numFmtId="2" fontId="56" fillId="0" borderId="0" xfId="0" applyNumberFormat="1" applyFont="1"/>
    <xf numFmtId="166" fontId="56" fillId="0" borderId="0" xfId="2" applyFont="1"/>
    <xf numFmtId="10" fontId="56" fillId="0" borderId="0" xfId="3" applyNumberFormat="1" applyFont="1"/>
    <xf numFmtId="10" fontId="0" fillId="0" borderId="0" xfId="3" applyNumberFormat="1" applyFont="1"/>
    <xf numFmtId="172" fontId="0" fillId="0" borderId="0" xfId="0" applyNumberFormat="1"/>
    <xf numFmtId="0" fontId="45" fillId="0" borderId="1" xfId="0" applyFont="1" applyBorder="1"/>
    <xf numFmtId="0" fontId="45" fillId="0" borderId="13" xfId="0" applyFont="1" applyBorder="1" applyAlignment="1">
      <alignment horizontal="center"/>
    </xf>
    <xf numFmtId="0" fontId="45" fillId="0" borderId="1" xfId="0" applyFont="1" applyFill="1" applyBorder="1"/>
    <xf numFmtId="10" fontId="43" fillId="0" borderId="1" xfId="3" applyNumberFormat="1" applyFont="1" applyBorder="1"/>
    <xf numFmtId="0" fontId="3"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3" fillId="0" borderId="1" xfId="0" applyFont="1" applyFill="1" applyBorder="1" applyAlignment="1">
      <alignment horizontal="center"/>
    </xf>
    <xf numFmtId="0" fontId="68" fillId="0" borderId="0" xfId="0" applyFont="1"/>
    <xf numFmtId="0" fontId="22" fillId="0" borderId="1" xfId="0" applyFont="1" applyBorder="1"/>
    <xf numFmtId="10" fontId="23" fillId="0" borderId="1" xfId="3" applyNumberFormat="1" applyFont="1" applyBorder="1" applyAlignment="1">
      <alignment horizontal="center"/>
    </xf>
    <xf numFmtId="0" fontId="54"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166" fontId="26" fillId="4" borderId="0" xfId="2"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4" fillId="0" borderId="22" xfId="0" applyFont="1" applyFill="1" applyBorder="1" applyAlignment="1">
      <alignment horizontal="left"/>
    </xf>
    <xf numFmtId="0" fontId="54" fillId="0" borderId="5" xfId="0" applyFont="1" applyFill="1" applyBorder="1" applyAlignment="1">
      <alignment horizontal="left"/>
    </xf>
    <xf numFmtId="0" fontId="54" fillId="0" borderId="18" xfId="0" applyFont="1" applyFill="1" applyBorder="1" applyAlignment="1">
      <alignment horizontal="left"/>
    </xf>
    <xf numFmtId="0" fontId="54" fillId="0" borderId="46" xfId="0" applyFont="1" applyFill="1" applyBorder="1" applyAlignment="1">
      <alignment horizontal="left"/>
    </xf>
    <xf numFmtId="0" fontId="54" fillId="0" borderId="47" xfId="0" applyFont="1" applyFill="1" applyBorder="1" applyAlignment="1">
      <alignment horizontal="left"/>
    </xf>
    <xf numFmtId="0" fontId="54"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8" fillId="0" borderId="15" xfId="0" applyFont="1" applyBorder="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20" xfId="0" applyFont="1" applyBorder="1" applyAlignment="1">
      <alignment horizontal="left" wrapText="1"/>
    </xf>
    <xf numFmtId="0" fontId="59" fillId="0" borderId="0" xfId="0" applyFont="1" applyBorder="1" applyAlignment="1">
      <alignment horizontal="left" wrapText="1"/>
    </xf>
    <xf numFmtId="0" fontId="59" fillId="0" borderId="21" xfId="0" applyFont="1" applyBorder="1" applyAlignment="1">
      <alignment horizontal="left" wrapText="1"/>
    </xf>
    <xf numFmtId="0" fontId="59" fillId="0" borderId="49" xfId="0" applyFont="1" applyBorder="1" applyAlignment="1">
      <alignment horizontal="left" wrapText="1"/>
    </xf>
    <xf numFmtId="0" fontId="59" fillId="0" borderId="50" xfId="0" applyFont="1" applyBorder="1" applyAlignment="1">
      <alignment horizontal="left" wrapText="1"/>
    </xf>
    <xf numFmtId="0" fontId="59" fillId="0" borderId="30" xfId="0" applyFont="1" applyBorder="1" applyAlignment="1">
      <alignment horizontal="left"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horizontal="left" vertical="center" wrapText="1"/>
    </xf>
    <xf numFmtId="0" fontId="47" fillId="0" borderId="21" xfId="0" applyFont="1" applyBorder="1" applyAlignment="1">
      <alignment horizontal="left" vertical="center" wrapText="1"/>
    </xf>
    <xf numFmtId="0" fontId="47" fillId="0" borderId="49" xfId="0" applyFont="1" applyBorder="1" applyAlignment="1">
      <alignment horizontal="left" vertical="center" wrapText="1"/>
    </xf>
    <xf numFmtId="0" fontId="47" fillId="0" borderId="50" xfId="0" applyFont="1" applyBorder="1" applyAlignment="1">
      <alignment horizontal="left" vertical="center" wrapText="1"/>
    </xf>
    <xf numFmtId="0" fontId="47" fillId="0" borderId="30" xfId="0" applyFont="1" applyBorder="1" applyAlignment="1">
      <alignment horizontal="left" vertical="center" wrapText="1"/>
    </xf>
    <xf numFmtId="0" fontId="60" fillId="0" borderId="15"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0" xfId="0" applyFont="1" applyBorder="1" applyAlignment="1">
      <alignment horizontal="left" vertical="center" wrapText="1"/>
    </xf>
    <xf numFmtId="0" fontId="54" fillId="0" borderId="21" xfId="0" applyFont="1" applyBorder="1" applyAlignment="1">
      <alignment horizontal="lef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54" fillId="0" borderId="30" xfId="0" applyFont="1" applyBorder="1" applyAlignment="1">
      <alignment horizontal="left" vertical="center" wrapText="1"/>
    </xf>
    <xf numFmtId="0" fontId="47" fillId="0" borderId="11" xfId="0" applyFont="1" applyBorder="1" applyAlignment="1">
      <alignment horizontal="left" vertical="center" wrapText="1"/>
    </xf>
    <xf numFmtId="0" fontId="47" fillId="0" borderId="0" xfId="0" applyFont="1" applyAlignment="1">
      <alignment horizontal="left" vertical="center" wrapText="1"/>
    </xf>
    <xf numFmtId="171" fontId="54" fillId="0" borderId="13" xfId="2" applyNumberFormat="1" applyFont="1" applyFill="1" applyBorder="1" applyAlignment="1">
      <alignment horizontal="right"/>
    </xf>
    <xf numFmtId="171" fontId="54" fillId="0" borderId="5" xfId="2" applyNumberFormat="1" applyFont="1" applyFill="1" applyBorder="1" applyAlignment="1">
      <alignment horizontal="right"/>
    </xf>
    <xf numFmtId="0" fontId="54" fillId="0" borderId="36" xfId="0" applyFont="1" applyBorder="1" applyAlignment="1">
      <alignment horizontal="left"/>
    </xf>
    <xf numFmtId="0" fontId="54" fillId="0" borderId="1" xfId="0" applyFont="1" applyBorder="1" applyAlignment="1">
      <alignment horizontal="left"/>
    </xf>
    <xf numFmtId="0" fontId="54" fillId="0" borderId="37" xfId="0" applyFont="1" applyBorder="1" applyAlignment="1">
      <alignment horizontal="left"/>
    </xf>
    <xf numFmtId="0" fontId="54" fillId="0" borderId="25" xfId="0" applyFont="1" applyBorder="1" applyAlignment="1">
      <alignment horizontal="left"/>
    </xf>
    <xf numFmtId="0" fontId="54" fillId="0" borderId="45" xfId="0" applyFont="1" applyBorder="1" applyAlignment="1">
      <alignment horizontal="right"/>
    </xf>
    <xf numFmtId="0" fontId="54" fillId="0" borderId="43" xfId="0" applyFont="1" applyBorder="1" applyAlignment="1">
      <alignment horizontal="right"/>
    </xf>
    <xf numFmtId="0" fontId="46" fillId="0" borderId="0" xfId="0" applyFont="1" applyBorder="1" applyAlignment="1">
      <alignment horizontal="center"/>
    </xf>
    <xf numFmtId="0" fontId="57" fillId="0" borderId="1" xfId="0" applyFont="1" applyBorder="1" applyAlignment="1">
      <alignment horizontal="center"/>
    </xf>
    <xf numFmtId="0" fontId="57" fillId="0" borderId="13" xfId="0" applyFont="1" applyBorder="1" applyAlignment="1">
      <alignment horizontal="center"/>
    </xf>
    <xf numFmtId="0" fontId="57" fillId="0" borderId="5" xfId="0" applyFont="1" applyBorder="1" applyAlignment="1">
      <alignment horizontal="center"/>
    </xf>
    <xf numFmtId="0" fontId="57" fillId="0" borderId="18" xfId="0" applyFont="1" applyBorder="1" applyAlignment="1">
      <alignment horizontal="center"/>
    </xf>
    <xf numFmtId="0" fontId="57" fillId="0" borderId="44" xfId="0" applyFont="1" applyFill="1" applyBorder="1" applyAlignment="1">
      <alignment horizontal="center"/>
    </xf>
    <xf numFmtId="0" fontId="57" fillId="0" borderId="44" xfId="0" applyFont="1" applyBorder="1" applyAlignment="1">
      <alignment horizontal="center"/>
    </xf>
    <xf numFmtId="10" fontId="61" fillId="0" borderId="45" xfId="0" applyNumberFormat="1" applyFont="1" applyBorder="1" applyAlignment="1">
      <alignment horizontal="center"/>
    </xf>
    <xf numFmtId="10" fontId="61"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C38" sqref="C38"/>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42007</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546</v>
      </c>
      <c r="C6" s="82"/>
      <c r="D6" s="82"/>
      <c r="E6" s="82"/>
      <c r="F6" s="82"/>
      <c r="G6" s="82"/>
      <c r="H6" s="82"/>
      <c r="I6" s="82"/>
    </row>
    <row r="7" spans="1:10" s="56" customFormat="1" ht="13">
      <c r="A7" s="156" t="s">
        <v>439</v>
      </c>
      <c r="B7" s="157" t="s">
        <v>546</v>
      </c>
      <c r="C7" s="246" t="s">
        <v>397</v>
      </c>
      <c r="D7" s="246" t="s">
        <v>624</v>
      </c>
      <c r="E7" s="82"/>
      <c r="F7" s="82"/>
      <c r="G7" s="82"/>
      <c r="H7" s="82"/>
      <c r="I7" s="82"/>
    </row>
    <row r="8" spans="1:10" s="56" customFormat="1" ht="13">
      <c r="A8" s="60" t="s">
        <v>11</v>
      </c>
      <c r="B8" s="61">
        <v>6500</v>
      </c>
      <c r="C8" s="85">
        <v>6258</v>
      </c>
      <c r="D8" s="245">
        <v>0.75</v>
      </c>
    </row>
    <row r="9" spans="1:10" s="56" customFormat="1" ht="13">
      <c r="A9" s="60" t="s">
        <v>29</v>
      </c>
      <c r="B9" s="61">
        <v>3251</v>
      </c>
      <c r="C9" s="85">
        <v>3251</v>
      </c>
      <c r="D9" s="245">
        <v>0.75</v>
      </c>
    </row>
    <row r="10" spans="1:10" s="56" customFormat="1" ht="13">
      <c r="A10" s="60" t="s">
        <v>441</v>
      </c>
      <c r="B10" s="85">
        <v>141</v>
      </c>
      <c r="C10" s="85">
        <v>134</v>
      </c>
      <c r="D10" s="62"/>
    </row>
    <row r="11" spans="1:10" s="56" customFormat="1" ht="13">
      <c r="A11" s="60" t="s">
        <v>30</v>
      </c>
      <c r="B11" s="61">
        <v>2427</v>
      </c>
      <c r="C11" s="85">
        <v>2304</v>
      </c>
      <c r="D11" s="62"/>
    </row>
    <row r="12" spans="1:10" s="56" customFormat="1" ht="13">
      <c r="A12" s="60" t="s">
        <v>31</v>
      </c>
      <c r="B12" s="61">
        <v>3581</v>
      </c>
      <c r="C12" s="85">
        <v>3662</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1996</v>
      </c>
      <c r="C15" s="85">
        <v>1935</v>
      </c>
      <c r="D15" s="62"/>
    </row>
    <row r="16" spans="1:10" s="56" customFormat="1" ht="13">
      <c r="A16" s="60" t="s">
        <v>608</v>
      </c>
      <c r="B16" s="173">
        <v>0</v>
      </c>
      <c r="C16" s="85">
        <v>0</v>
      </c>
      <c r="D16" s="62"/>
    </row>
    <row r="17" spans="1:11" s="56" customFormat="1" ht="13">
      <c r="A17" s="60" t="s">
        <v>393</v>
      </c>
      <c r="B17" s="173">
        <v>2081</v>
      </c>
      <c r="C17" s="85">
        <v>1676</v>
      </c>
      <c r="D17" s="62"/>
    </row>
    <row r="18" spans="1:11" s="56" customFormat="1" ht="13">
      <c r="A18" s="60" t="s">
        <v>763</v>
      </c>
      <c r="B18" s="173">
        <v>226</v>
      </c>
      <c r="C18" s="358"/>
      <c r="D18" s="62"/>
    </row>
    <row r="19" spans="1:11" s="56" customFormat="1" ht="14" thickBot="1">
      <c r="A19" s="60" t="s">
        <v>32</v>
      </c>
      <c r="B19" s="158">
        <v>244.4</v>
      </c>
      <c r="C19" s="62"/>
    </row>
    <row r="20" spans="1:11" s="56" customFormat="1" ht="13">
      <c r="A20" s="60" t="s">
        <v>33</v>
      </c>
      <c r="B20" s="61">
        <v>276.91000000000003</v>
      </c>
      <c r="C20" s="62"/>
      <c r="E20" s="86" t="s">
        <v>245</v>
      </c>
      <c r="F20" s="54"/>
      <c r="G20" s="54"/>
      <c r="H20" s="54"/>
      <c r="I20" s="54"/>
      <c r="J20" s="54"/>
      <c r="K20" s="55"/>
    </row>
    <row r="21" spans="1:11" s="56" customFormat="1" ht="13">
      <c r="A21" s="63" t="s">
        <v>106</v>
      </c>
      <c r="B21" s="64">
        <v>0.20899999999999999</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5.189017120814432E-2</v>
      </c>
      <c r="J23" s="259">
        <f>VLOOKUP(B6,'Industry Average Beta (US)'!A2:S95,3)</f>
        <v>0.10725981366459622</v>
      </c>
      <c r="K23" s="260">
        <f>VLOOKUP(B7,'Industry Average Beta (Global)'!A2:N95,3)</f>
        <v>0.14369356223175958</v>
      </c>
    </row>
    <row r="24" spans="1:11" s="56" customFormat="1" ht="13">
      <c r="A24" s="60" t="s">
        <v>49</v>
      </c>
      <c r="B24" s="67">
        <v>0.05</v>
      </c>
      <c r="C24" s="62" t="s">
        <v>611</v>
      </c>
      <c r="E24" s="87" t="s">
        <v>177</v>
      </c>
      <c r="F24" s="82"/>
      <c r="G24" s="82"/>
      <c r="H24" s="82"/>
      <c r="I24" s="259">
        <f>'Valuation output'!B4</f>
        <v>0.50015384615384617</v>
      </c>
      <c r="J24" s="260">
        <f>VLOOKUP(B6,'Industry Average Beta (US)'!A2:S95,4)</f>
        <v>8.7040439961518043E-2</v>
      </c>
      <c r="K24" s="260">
        <f>VLOOKUP(B7,'Industry Average Beta (Global)'!A2:N95,4)</f>
        <v>7.9749359071416323E-2</v>
      </c>
    </row>
    <row r="25" spans="1:11" s="56" customFormat="1" ht="13">
      <c r="A25" s="60" t="s">
        <v>51</v>
      </c>
      <c r="B25" s="67">
        <v>0.5</v>
      </c>
      <c r="C25" s="62" t="s">
        <v>609</v>
      </c>
      <c r="E25" s="87" t="s">
        <v>178</v>
      </c>
      <c r="F25" s="82"/>
      <c r="G25" s="82"/>
      <c r="H25" s="82"/>
      <c r="I25" s="261">
        <f>B8/'Valuation output'!B39</f>
        <v>1.6201395812562314</v>
      </c>
      <c r="J25" s="261">
        <f>VLOOKUP(B6,'Industry Average Beta (US)'!A2:S95,14)</f>
        <v>3.7019938804569948E-2</v>
      </c>
      <c r="K25" s="261">
        <f>VLOOKUP(B7,'Industry Average Beta (Global)'!A2:N95,14)</f>
        <v>6.6727075913315767E-2</v>
      </c>
    </row>
    <row r="26" spans="1:11" s="56" customFormat="1" ht="13">
      <c r="A26" s="60" t="s">
        <v>685</v>
      </c>
      <c r="B26" s="68">
        <v>5</v>
      </c>
      <c r="C26" s="62" t="s">
        <v>686</v>
      </c>
      <c r="E26" s="87" t="s">
        <v>179</v>
      </c>
      <c r="F26" s="82"/>
      <c r="G26" s="82"/>
      <c r="H26" s="82"/>
      <c r="I26" s="260">
        <f>'Valuation output'!B7/'Valuation output'!B39</f>
        <v>0.64096236291126629</v>
      </c>
      <c r="J26" s="260">
        <f>VLOOKUP(B6,'Industry Average Beta (US)'!A2:S95,5)</f>
        <v>2.5355829838917114E-3</v>
      </c>
      <c r="K26" s="260">
        <f>VLOOKUP(B7,'Industry Average Beta (Global)'!A2:N95,5)</f>
        <v>4.4184462769268767E-3</v>
      </c>
    </row>
    <row r="27" spans="1:11" s="56" customFormat="1" ht="13">
      <c r="A27" s="60" t="s">
        <v>37</v>
      </c>
      <c r="B27" s="68">
        <f>I25</f>
        <v>1.6201395812562314</v>
      </c>
      <c r="C27" s="62" t="s">
        <v>610</v>
      </c>
      <c r="E27" s="87" t="s">
        <v>386</v>
      </c>
      <c r="F27" s="82"/>
      <c r="G27" s="82"/>
      <c r="H27" s="82"/>
      <c r="I27" s="168"/>
      <c r="J27" s="262">
        <f>VLOOKUP(B6,'Industry Average Beta (US)'!A2:S95,10)</f>
        <v>0.27326283385015138</v>
      </c>
      <c r="K27" s="260">
        <f>VLOOKUP(B6,'Industry Average Beta (Global)'!A2:Z95,10)</f>
        <v>0.33874354855439265</v>
      </c>
    </row>
    <row r="28" spans="1:11" s="56" customFormat="1" ht="14" thickBot="1">
      <c r="A28" s="65" t="s">
        <v>36</v>
      </c>
      <c r="B28" s="69"/>
      <c r="C28" s="62"/>
      <c r="E28" s="58" t="s">
        <v>385</v>
      </c>
      <c r="F28" s="59"/>
      <c r="G28" s="59"/>
      <c r="H28" s="59"/>
      <c r="I28" s="59"/>
      <c r="J28" s="263">
        <f>VLOOKUP(B6,'Industry Average Beta (US)'!A2:S95,13)</f>
        <v>3.4363910772437528E-2</v>
      </c>
      <c r="K28" s="260">
        <f>VLOOKUP(B6,'Industry Average Beta (Global)'!A2:Z95,13)</f>
        <v>4.5564541444359577E-2</v>
      </c>
    </row>
    <row r="29" spans="1:11" s="56" customFormat="1" ht="14" thickBot="1">
      <c r="A29" s="60" t="s">
        <v>27</v>
      </c>
      <c r="B29" s="67">
        <v>1.67E-2</v>
      </c>
      <c r="C29" s="62"/>
    </row>
    <row r="30" spans="1:11" s="56" customFormat="1" ht="13">
      <c r="A30" s="60" t="s">
        <v>39</v>
      </c>
      <c r="B30" s="159">
        <f>'Cost of capital worksheet'!E50</f>
        <v>2.1625596525851082E-2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9776.6523496694172</v>
      </c>
    </row>
    <row r="32" spans="1:11" s="56" customFormat="1" ht="13">
      <c r="A32" s="63" t="s">
        <v>248</v>
      </c>
      <c r="B32" s="159" t="s">
        <v>53</v>
      </c>
      <c r="C32"/>
      <c r="D32" s="62"/>
      <c r="E32" s="247" t="s">
        <v>615</v>
      </c>
      <c r="F32" s="63"/>
      <c r="G32" s="63"/>
      <c r="H32" s="63"/>
      <c r="I32" s="63"/>
      <c r="J32" s="258">
        <f>'Valuation output'!M5</f>
        <v>4888.3261748347086</v>
      </c>
    </row>
    <row r="33" spans="1:14" s="56" customFormat="1" ht="13">
      <c r="A33" s="63" t="s">
        <v>92</v>
      </c>
      <c r="B33" s="68">
        <v>0</v>
      </c>
      <c r="C33" s="257"/>
      <c r="D33" s="62"/>
      <c r="E33" s="247" t="s">
        <v>614</v>
      </c>
      <c r="F33" s="63"/>
      <c r="G33" s="63"/>
      <c r="H33" s="63"/>
      <c r="I33" s="63"/>
      <c r="J33" s="259">
        <f>'Valuation output'!L40</f>
        <v>0.60755234297108673</v>
      </c>
    </row>
    <row r="34" spans="1:14" s="56" customFormat="1" ht="14" thickBot="1">
      <c r="A34" s="63" t="s">
        <v>93</v>
      </c>
      <c r="B34" s="71">
        <v>0</v>
      </c>
      <c r="C34" s="256"/>
      <c r="D34" s="62"/>
      <c r="E34" s="248" t="s">
        <v>616</v>
      </c>
      <c r="F34" s="59"/>
      <c r="G34" s="59"/>
      <c r="H34" s="59"/>
      <c r="I34" s="59"/>
      <c r="J34" s="249"/>
    </row>
    <row r="35" spans="1:14" s="56" customFormat="1" ht="13">
      <c r="A35" s="63" t="s">
        <v>94</v>
      </c>
      <c r="B35" s="68">
        <v>0</v>
      </c>
      <c r="C35" s="257"/>
      <c r="D35" s="62"/>
    </row>
    <row r="36" spans="1:14" s="56" customFormat="1" ht="13">
      <c r="A36" s="63" t="s">
        <v>95</v>
      </c>
      <c r="B36" s="67">
        <v>0</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0</v>
      </c>
      <c r="C60" s="265" t="s">
        <v>626</v>
      </c>
    </row>
    <row r="61" spans="1:14">
      <c r="A61" s="264" t="s">
        <v>618</v>
      </c>
      <c r="B61" s="252">
        <v>0.15</v>
      </c>
      <c r="C61" s="265" t="s">
        <v>627</v>
      </c>
    </row>
    <row r="62" spans="1:14">
      <c r="A62" s="145"/>
    </row>
  </sheetData>
  <mergeCells count="3">
    <mergeCell ref="A38:B38"/>
    <mergeCell ref="A3:J3"/>
    <mergeCell ref="E30:J30"/>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3251</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141</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23.056737588652481</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J33" sqref="J33"/>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0</v>
      </c>
      <c r="C2" s="201">
        <v>0</v>
      </c>
      <c r="D2" s="201">
        <v>0</v>
      </c>
      <c r="E2" s="202">
        <f>B2-C2+D2</f>
        <v>0</v>
      </c>
    </row>
    <row r="3" spans="1:5" ht="13">
      <c r="A3" s="60" t="s">
        <v>427</v>
      </c>
      <c r="B3" s="201">
        <v>0</v>
      </c>
      <c r="C3" s="201">
        <v>0</v>
      </c>
      <c r="D3" s="201">
        <v>0</v>
      </c>
      <c r="E3" s="202">
        <f>B3-C3+D3</f>
        <v>0</v>
      </c>
    </row>
    <row r="4" spans="1:5" ht="13">
      <c r="A4" s="60" t="s">
        <v>29</v>
      </c>
      <c r="B4" s="201">
        <v>0</v>
      </c>
      <c r="C4" s="201">
        <v>0</v>
      </c>
      <c r="D4" s="201">
        <v>0</v>
      </c>
      <c r="E4" s="202">
        <f>B4-C4+D4</f>
        <v>0</v>
      </c>
    </row>
    <row r="5" spans="1:5" ht="13">
      <c r="A5" s="60" t="s">
        <v>442</v>
      </c>
      <c r="B5" s="201">
        <v>0</v>
      </c>
      <c r="C5" s="201">
        <v>0</v>
      </c>
      <c r="D5" s="201">
        <v>0</v>
      </c>
      <c r="E5" s="202">
        <f>B5-C5+D5</f>
        <v>0</v>
      </c>
    </row>
    <row r="6" spans="1:5" ht="13">
      <c r="A6" s="60" t="s">
        <v>30</v>
      </c>
      <c r="B6" s="201">
        <v>0</v>
      </c>
      <c r="C6" s="201"/>
      <c r="D6" s="201">
        <v>0</v>
      </c>
      <c r="E6" s="202"/>
    </row>
    <row r="7" spans="1:5" ht="13">
      <c r="A7" s="60" t="s">
        <v>31</v>
      </c>
      <c r="B7" s="201">
        <v>0</v>
      </c>
      <c r="C7" s="201"/>
      <c r="D7" s="201">
        <v>0</v>
      </c>
      <c r="E7" s="202"/>
    </row>
    <row r="8" spans="1:5" ht="13">
      <c r="A8" s="60" t="s">
        <v>246</v>
      </c>
      <c r="B8" s="201"/>
      <c r="C8" s="201"/>
      <c r="D8" s="201"/>
      <c r="E8" s="202"/>
    </row>
    <row r="9" spans="1:5" ht="13">
      <c r="A9" s="60" t="s">
        <v>247</v>
      </c>
      <c r="B9" s="201">
        <v>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v>0</v>
      </c>
      <c r="C14" s="182">
        <v>0</v>
      </c>
      <c r="D14" s="182">
        <v>0</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0</v>
      </c>
      <c r="C17" s="204"/>
      <c r="D17" s="204" t="s">
        <v>100</v>
      </c>
      <c r="E17" s="205"/>
    </row>
    <row r="18" spans="1:5" ht="13">
      <c r="A18" s="63" t="s">
        <v>401</v>
      </c>
      <c r="B18" s="327">
        <v>0</v>
      </c>
      <c r="C18" s="430" t="s">
        <v>665</v>
      </c>
      <c r="D18" s="204" t="s">
        <v>100</v>
      </c>
      <c r="E18" s="205"/>
    </row>
    <row r="19" spans="1:5" ht="13">
      <c r="A19" s="63" t="s">
        <v>402</v>
      </c>
      <c r="B19" s="327">
        <v>0</v>
      </c>
      <c r="C19" s="430"/>
      <c r="D19" s="204" t="s">
        <v>100</v>
      </c>
      <c r="E19" s="205"/>
    </row>
    <row r="20" spans="1:5" ht="13">
      <c r="A20" s="63" t="s">
        <v>403</v>
      </c>
      <c r="B20" s="327">
        <v>0</v>
      </c>
      <c r="C20" s="430"/>
      <c r="D20" s="204" t="s">
        <v>100</v>
      </c>
      <c r="E20" s="205"/>
    </row>
    <row r="21" spans="1:5" ht="13">
      <c r="A21" s="63" t="s">
        <v>404</v>
      </c>
      <c r="B21" s="327">
        <v>0</v>
      </c>
      <c r="C21" s="430"/>
      <c r="D21" s="204" t="s">
        <v>100</v>
      </c>
      <c r="E21" s="205"/>
    </row>
    <row r="22" spans="1:5" ht="14">
      <c r="A22" s="63" t="s">
        <v>405</v>
      </c>
      <c r="B22" s="326">
        <v>0</v>
      </c>
      <c r="C22" s="430"/>
      <c r="D22" s="204" t="s">
        <v>100</v>
      </c>
      <c r="E22" s="205"/>
    </row>
    <row r="23" spans="1:5">
      <c r="B23" s="183"/>
      <c r="C23" s="430"/>
    </row>
    <row r="25" spans="1:5" ht="13">
      <c r="A25" s="63" t="s">
        <v>664</v>
      </c>
      <c r="B25" s="325">
        <v>0</v>
      </c>
    </row>
    <row r="29" spans="1:5">
      <c r="D29" s="201">
        <v>0</v>
      </c>
    </row>
    <row r="30" spans="1:5">
      <c r="D30" s="201">
        <v>0</v>
      </c>
    </row>
    <row r="31" spans="1:5">
      <c r="D31" s="201">
        <v>0</v>
      </c>
    </row>
    <row r="32" spans="1:5">
      <c r="D32" s="201">
        <v>0</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B18" sqref="B18"/>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8" zoomScale="125" zoomScaleNormal="125" workbookViewId="0">
      <selection activeCell="B34" sqref="B3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6500</v>
      </c>
      <c r="C3" s="93">
        <f>B3*(1+C2)</f>
        <v>6825</v>
      </c>
      <c r="D3" s="93">
        <f t="shared" ref="D3:L3" si="0">C3*(1+D2)</f>
        <v>7166.25</v>
      </c>
      <c r="E3" s="93">
        <f t="shared" si="0"/>
        <v>7524.5625</v>
      </c>
      <c r="F3" s="93">
        <f t="shared" si="0"/>
        <v>7900.7906250000005</v>
      </c>
      <c r="G3" s="93">
        <f t="shared" si="0"/>
        <v>8295.8301562500001</v>
      </c>
      <c r="H3" s="93">
        <f t="shared" si="0"/>
        <v>8655.371435221874</v>
      </c>
      <c r="I3" s="93">
        <f t="shared" si="0"/>
        <v>8972.8504594658134</v>
      </c>
      <c r="J3" s="93">
        <f t="shared" si="0"/>
        <v>9242.215430258977</v>
      </c>
      <c r="K3" s="93">
        <f t="shared" si="0"/>
        <v>9458.1135827098278</v>
      </c>
      <c r="L3" s="93">
        <f t="shared" si="0"/>
        <v>9616.0640795410818</v>
      </c>
      <c r="M3" s="109">
        <f>L3*(1+M2)</f>
        <v>9776.6523496694172</v>
      </c>
    </row>
    <row r="4" spans="1:14" ht="15" customHeight="1">
      <c r="A4" s="45" t="s">
        <v>26</v>
      </c>
      <c r="B4" s="94">
        <f>B5/B3</f>
        <v>0.50015384615384617</v>
      </c>
      <c r="C4" s="90">
        <f>IF(C1&gt;'Input sheet'!$B$26,'Input sheet'!$B$25,'Input sheet'!$B$25-(('Input sheet'!$B$25-$B$4)/'Input sheet'!$B$26)*('Input sheet'!$B$26-C1))</f>
        <v>0.50012307692307689</v>
      </c>
      <c r="D4" s="90">
        <f>IF(D1&gt;'Input sheet'!$B$26,'Input sheet'!$B$25,'Input sheet'!$B$25-(('Input sheet'!$B$25-$B$4)/'Input sheet'!$B$26)*('Input sheet'!$B$26-D1))</f>
        <v>0.50009230769230772</v>
      </c>
      <c r="E4" s="90">
        <f>IF(E1&gt;'Input sheet'!$B$26,'Input sheet'!$B$25,'Input sheet'!$B$25-(('Input sheet'!$B$25-$B$4)/'Input sheet'!$B$26)*('Input sheet'!$B$26-E1))</f>
        <v>0.50006153846153845</v>
      </c>
      <c r="F4" s="90">
        <f>IF(F1&gt;'Input sheet'!$B$26,'Input sheet'!$B$25,'Input sheet'!$B$25-(('Input sheet'!$B$25-$B$4)/'Input sheet'!$B$26)*('Input sheet'!$B$26-F1))</f>
        <v>0.50003076923076928</v>
      </c>
      <c r="G4" s="90">
        <f>IF(G1&gt;'Input sheet'!$B$26,'Input sheet'!$B$25,'Input sheet'!$B$25-(('Input sheet'!$B$25-$B$4)/'Input sheet'!$B$26)*('Input sheet'!$B$26-G1))</f>
        <v>0.5</v>
      </c>
      <c r="H4" s="90">
        <f>IF(H1&gt;'Input sheet'!$B$26,'Input sheet'!$B$25,'Input sheet'!$B$25-(('Input sheet'!$B$25-$B$4)/'Input sheet'!$B$26)*('Input sheet'!$B$26-H1))</f>
        <v>0.5</v>
      </c>
      <c r="I4" s="90">
        <f>IF(I1&gt;'Input sheet'!$B$26,'Input sheet'!$B$25,'Input sheet'!$B$25-(('Input sheet'!$B$25-$B$4)/'Input sheet'!$B$26)*('Input sheet'!$B$26-I1))</f>
        <v>0.5</v>
      </c>
      <c r="J4" s="90">
        <f>IF(J1&gt;'Input sheet'!$B$26,'Input sheet'!$B$25,'Input sheet'!$B$25-(('Input sheet'!$B$25-$B$4)/'Input sheet'!$B$26)*('Input sheet'!$B$26-J1))</f>
        <v>0.5</v>
      </c>
      <c r="K4" s="90">
        <f>IF(K1&gt;'Input sheet'!$B$26,'Input sheet'!$B$25,'Input sheet'!$B$25-(('Input sheet'!$B$25-$B$4)/'Input sheet'!$B$26)*('Input sheet'!$B$26-K1))</f>
        <v>0.5</v>
      </c>
      <c r="L4" s="90">
        <f>IF(L1&gt;'Input sheet'!$B$26,'Input sheet'!$B$25,'Input sheet'!$B$25-(('Input sheet'!$B$25-$B$4)/'Input sheet'!$B$26)*('Input sheet'!$B$26-L1))</f>
        <v>0.5</v>
      </c>
      <c r="M4" s="91">
        <f>L4</f>
        <v>0.5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3251</v>
      </c>
      <c r="C5" s="93">
        <f t="shared" ref="C5:M5" si="1">C4*C3</f>
        <v>3413.3399999999997</v>
      </c>
      <c r="D5" s="93">
        <f t="shared" si="1"/>
        <v>3583.7865000000002</v>
      </c>
      <c r="E5" s="93">
        <f t="shared" si="1"/>
        <v>3762.7442999999998</v>
      </c>
      <c r="F5" s="93">
        <f t="shared" si="1"/>
        <v>3950.6384137500008</v>
      </c>
      <c r="G5" s="93">
        <f t="shared" si="1"/>
        <v>4147.915078125</v>
      </c>
      <c r="H5" s="93">
        <f t="shared" si="1"/>
        <v>4327.685717610937</v>
      </c>
      <c r="I5" s="93">
        <f t="shared" si="1"/>
        <v>4486.4252297329067</v>
      </c>
      <c r="J5" s="93">
        <f t="shared" si="1"/>
        <v>4621.1077151294885</v>
      </c>
      <c r="K5" s="93">
        <f t="shared" si="1"/>
        <v>4729.0567913549139</v>
      </c>
      <c r="L5" s="93">
        <f t="shared" si="1"/>
        <v>4808.0320397705409</v>
      </c>
      <c r="M5" s="109">
        <f t="shared" si="1"/>
        <v>4888.3261748347086</v>
      </c>
      <c r="N5" s="111">
        <f>M5-B5</f>
        <v>1637.3261748347086</v>
      </c>
    </row>
    <row r="6" spans="1:14" ht="15" customHeight="1">
      <c r="A6" s="45" t="s">
        <v>142</v>
      </c>
      <c r="B6" s="95">
        <f>'Input sheet'!B21</f>
        <v>0.20899999999999999</v>
      </c>
      <c r="C6" s="96">
        <f>B6</f>
        <v>0.20899999999999999</v>
      </c>
      <c r="D6" s="96">
        <f>C6</f>
        <v>0.20899999999999999</v>
      </c>
      <c r="E6" s="96">
        <f>D6</f>
        <v>0.20899999999999999</v>
      </c>
      <c r="F6" s="96">
        <f>E6</f>
        <v>0.20899999999999999</v>
      </c>
      <c r="G6" s="96">
        <f>F6</f>
        <v>0.20899999999999999</v>
      </c>
      <c r="H6" s="96">
        <f>G6+($M$6-$G$6)/5</f>
        <v>0.2172</v>
      </c>
      <c r="I6" s="96">
        <f>H6+($M$6-$G$6)/5</f>
        <v>0.22540000000000002</v>
      </c>
      <c r="J6" s="96">
        <f>I6+($M$6-$G$6)/5</f>
        <v>0.23360000000000003</v>
      </c>
      <c r="K6" s="96">
        <f>J6+($M$6-$G$6)/5</f>
        <v>0.24180000000000004</v>
      </c>
      <c r="L6" s="96">
        <f>K6+($M$6-$G$6)/5</f>
        <v>0.25000000000000006</v>
      </c>
      <c r="M6" s="96">
        <f>IF('Input sheet'!B51="Yes",'Input sheet'!B21,'Input sheet'!B22)</f>
        <v>0.25</v>
      </c>
    </row>
    <row r="7" spans="1:14" ht="15" customHeight="1">
      <c r="A7" s="45" t="s">
        <v>12</v>
      </c>
      <c r="B7" s="92">
        <f>IF(B5&gt;0,B5*(1-B6),B5)</f>
        <v>2571.5410000000002</v>
      </c>
      <c r="C7" s="93">
        <f>IF(C5&gt;0,IF(C5&lt;B10,C5,C5-(C5-B10)*C6),C5)</f>
        <v>2699.9519399999999</v>
      </c>
      <c r="D7" s="93">
        <f t="shared" ref="D7:L7" si="2">IF(D5&gt;0,IF(D5&lt;C10,D5,D5-(D5-C10)*D6),D5)</f>
        <v>2834.7751215000003</v>
      </c>
      <c r="E7" s="93">
        <f t="shared" si="2"/>
        <v>2976.3307412999998</v>
      </c>
      <c r="F7" s="93">
        <f t="shared" si="2"/>
        <v>3124.9549852762507</v>
      </c>
      <c r="G7" s="93">
        <f t="shared" si="2"/>
        <v>3281.0008267968751</v>
      </c>
      <c r="H7" s="93">
        <f t="shared" si="2"/>
        <v>3387.7123797458416</v>
      </c>
      <c r="I7" s="93">
        <f t="shared" si="2"/>
        <v>3475.1849829511093</v>
      </c>
      <c r="J7" s="93">
        <f t="shared" si="2"/>
        <v>3541.6169528752398</v>
      </c>
      <c r="K7" s="93">
        <f t="shared" si="2"/>
        <v>3585.5708592052956</v>
      </c>
      <c r="L7" s="93">
        <f t="shared" si="2"/>
        <v>3606.0240298279055</v>
      </c>
      <c r="M7" s="93">
        <f>M5*(1-M6)</f>
        <v>3666.2446311260314</v>
      </c>
    </row>
    <row r="8" spans="1:14" ht="15" customHeight="1">
      <c r="A8" s="45" t="s">
        <v>15</v>
      </c>
      <c r="B8" s="92"/>
      <c r="C8" s="93">
        <f t="shared" ref="C8:L8" si="3">(C3-B3)/C38</f>
        <v>200.6</v>
      </c>
      <c r="D8" s="93">
        <f t="shared" si="3"/>
        <v>210.63</v>
      </c>
      <c r="E8" s="93">
        <f t="shared" si="3"/>
        <v>221.16149999999999</v>
      </c>
      <c r="F8" s="93">
        <f t="shared" si="3"/>
        <v>232.21957500000033</v>
      </c>
      <c r="G8" s="93">
        <f t="shared" si="3"/>
        <v>243.83055374999969</v>
      </c>
      <c r="H8" s="93">
        <f t="shared" si="3"/>
        <v>221.91994019002431</v>
      </c>
      <c r="I8" s="93">
        <f t="shared" si="3"/>
        <v>195.95782234872075</v>
      </c>
      <c r="J8" s="93">
        <f t="shared" si="3"/>
        <v>166.26034812648805</v>
      </c>
      <c r="K8" s="93">
        <f t="shared" si="3"/>
        <v>133.25898271274053</v>
      </c>
      <c r="L8" s="93">
        <f t="shared" si="3"/>
        <v>97.491906659537065</v>
      </c>
      <c r="M8" s="97">
        <f>IF(M2&gt;0,(M2/M40)*M7,0)</f>
        <v>992.3222907585855</v>
      </c>
      <c r="N8" s="111">
        <f>SUM(C8:M8)</f>
        <v>2915.6529195460962</v>
      </c>
    </row>
    <row r="9" spans="1:14" ht="15" customHeight="1">
      <c r="A9" s="45" t="s">
        <v>16</v>
      </c>
      <c r="B9" s="92"/>
      <c r="C9" s="93">
        <f t="shared" ref="C9:L9" si="4">C7-C8</f>
        <v>2499.35194</v>
      </c>
      <c r="D9" s="93">
        <f t="shared" si="4"/>
        <v>2624.1451215000002</v>
      </c>
      <c r="E9" s="93">
        <f t="shared" si="4"/>
        <v>2755.1692412999996</v>
      </c>
      <c r="F9" s="93">
        <f t="shared" si="4"/>
        <v>2892.7354102762501</v>
      </c>
      <c r="G9" s="93">
        <f t="shared" si="4"/>
        <v>3037.1702730468755</v>
      </c>
      <c r="H9" s="93">
        <f t="shared" si="4"/>
        <v>3165.7924395558175</v>
      </c>
      <c r="I9" s="93">
        <f t="shared" si="4"/>
        <v>3279.2271606023887</v>
      </c>
      <c r="J9" s="93">
        <f t="shared" si="4"/>
        <v>3375.3566047487516</v>
      </c>
      <c r="K9" s="93">
        <f t="shared" si="4"/>
        <v>3452.3118764925553</v>
      </c>
      <c r="L9" s="93">
        <f t="shared" si="4"/>
        <v>3508.5321231683683</v>
      </c>
      <c r="M9" s="97">
        <f>M7-M8</f>
        <v>2673.9223403674459</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2.1625596525851082E-2</v>
      </c>
      <c r="D12" s="90">
        <f>C12</f>
        <v>2.1625596525851082E-2</v>
      </c>
      <c r="E12" s="90">
        <f>D12</f>
        <v>2.1625596525851082E-2</v>
      </c>
      <c r="F12" s="90">
        <f>E12</f>
        <v>2.1625596525851082E-2</v>
      </c>
      <c r="G12" s="90">
        <f>F12</f>
        <v>2.1625596525851082E-2</v>
      </c>
      <c r="H12" s="90">
        <f>G12-($G$12-$M$12)/5</f>
        <v>2.9640477220680864E-2</v>
      </c>
      <c r="I12" s="90">
        <f>H12-($G$12-$M$12)/5</f>
        <v>3.7655357915510647E-2</v>
      </c>
      <c r="J12" s="90">
        <f>I12-($G$12-$M$12)/5</f>
        <v>4.5670238610340433E-2</v>
      </c>
      <c r="K12" s="90">
        <f>J12-($G$12-$M$12)/5</f>
        <v>5.3685119305170212E-2</v>
      </c>
      <c r="L12" s="90">
        <f>K12-($G$12-$M$12)/5</f>
        <v>6.1699999999999991E-2</v>
      </c>
      <c r="M12" s="91">
        <f>IF('Input sheet'!B40="Yes",'Input sheet'!B41,'Input sheet'!B29+0.045)</f>
        <v>6.1699999999999998E-2</v>
      </c>
    </row>
    <row r="13" spans="1:14" ht="15" customHeight="1">
      <c r="A13" s="46" t="s">
        <v>149</v>
      </c>
      <c r="B13" s="89"/>
      <c r="C13" s="153">
        <f>1/(1+C12)</f>
        <v>0.97883217041605908</v>
      </c>
      <c r="D13" s="153">
        <f>C13*(1/(1+D12))</f>
        <v>0.95811241784141288</v>
      </c>
      <c r="E13" s="153">
        <f t="shared" ref="E13:L13" si="6">D13*(1/(1+E12))</f>
        <v>0.93783125745828821</v>
      </c>
      <c r="F13" s="153">
        <f t="shared" si="6"/>
        <v>0.91797940522191812</v>
      </c>
      <c r="G13" s="153">
        <f t="shared" si="6"/>
        <v>0.89854777361061311</v>
      </c>
      <c r="H13" s="153">
        <f t="shared" si="6"/>
        <v>0.87268108965186797</v>
      </c>
      <c r="I13" s="153">
        <f t="shared" si="6"/>
        <v>0.84101246429734589</v>
      </c>
      <c r="J13" s="153">
        <f t="shared" si="6"/>
        <v>0.80428076963825834</v>
      </c>
      <c r="K13" s="153">
        <f t="shared" si="6"/>
        <v>0.76330276939720276</v>
      </c>
      <c r="L13" s="153">
        <f t="shared" si="6"/>
        <v>0.71894392897918691</v>
      </c>
      <c r="M13" s="98"/>
    </row>
    <row r="14" spans="1:14" ht="15" customHeight="1">
      <c r="A14" s="46" t="s">
        <v>21</v>
      </c>
      <c r="B14" s="89"/>
      <c r="C14" s="93">
        <f t="shared" ref="C14:L14" si="7">C9*C13</f>
        <v>2446.446084063788</v>
      </c>
      <c r="D14" s="93">
        <f t="shared" si="7"/>
        <v>2514.2260271271134</v>
      </c>
      <c r="E14" s="93">
        <f t="shared" si="7"/>
        <v>2583.8838340787765</v>
      </c>
      <c r="F14" s="93">
        <f t="shared" si="7"/>
        <v>2655.4715313897732</v>
      </c>
      <c r="G14" s="93">
        <f t="shared" si="7"/>
        <v>2729.0425869226078</v>
      </c>
      <c r="H14" s="93">
        <f t="shared" si="7"/>
        <v>2762.7271957632161</v>
      </c>
      <c r="I14" s="93">
        <f t="shared" si="7"/>
        <v>2757.8709153290033</v>
      </c>
      <c r="J14" s="93">
        <f t="shared" si="7"/>
        <v>2714.7344078709043</v>
      </c>
      <c r="K14" s="93">
        <f t="shared" si="7"/>
        <v>2635.1592161496214</v>
      </c>
      <c r="L14" s="93">
        <f t="shared" si="7"/>
        <v>2522.4378695803553</v>
      </c>
      <c r="M14" s="98"/>
    </row>
    <row r="15" spans="1:14" ht="15" customHeight="1">
      <c r="A15" s="46"/>
      <c r="B15" s="45"/>
      <c r="C15" s="51"/>
      <c r="D15" s="51"/>
      <c r="E15" s="51"/>
      <c r="F15" s="51"/>
      <c r="G15" s="51"/>
      <c r="H15" s="51"/>
      <c r="I15" s="51"/>
      <c r="J15" s="51"/>
      <c r="K15" s="51"/>
      <c r="L15" s="51"/>
    </row>
    <row r="16" spans="1:14" ht="15" customHeight="1">
      <c r="A16" s="48" t="s">
        <v>22</v>
      </c>
      <c r="B16" s="92">
        <f>M9</f>
        <v>2673.9223403674459</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59420.496452609914</v>
      </c>
      <c r="C18" s="51"/>
      <c r="D18" s="154"/>
      <c r="E18" s="51"/>
      <c r="F18" s="51"/>
      <c r="G18" s="51"/>
      <c r="H18" s="51"/>
      <c r="I18" s="51"/>
      <c r="J18" s="51"/>
      <c r="K18" s="51"/>
      <c r="L18" s="51"/>
    </row>
    <row r="19" spans="1:12">
      <c r="A19" s="48" t="s">
        <v>24</v>
      </c>
      <c r="B19" s="99">
        <f>B18*L13</f>
        <v>42720.005181533212</v>
      </c>
      <c r="C19" s="51"/>
      <c r="D19" s="51"/>
      <c r="E19" s="51"/>
      <c r="F19" s="51"/>
      <c r="G19" s="51"/>
      <c r="H19" s="51"/>
      <c r="I19" s="51"/>
      <c r="J19" s="51"/>
      <c r="K19" s="51"/>
      <c r="L19" s="51"/>
    </row>
    <row r="20" spans="1:12">
      <c r="A20" s="48" t="s">
        <v>46</v>
      </c>
      <c r="B20" s="99">
        <f>SUM(C14:L14)</f>
        <v>26321.999668275159</v>
      </c>
      <c r="C20" s="51"/>
      <c r="D20" s="51"/>
      <c r="E20" s="51"/>
      <c r="F20" s="51"/>
      <c r="G20" s="51"/>
      <c r="H20" s="51"/>
      <c r="I20" s="51"/>
      <c r="J20" s="51"/>
      <c r="K20" s="51"/>
      <c r="L20" s="51"/>
    </row>
    <row r="21" spans="1:12">
      <c r="A21" s="48" t="s">
        <v>47</v>
      </c>
      <c r="B21" s="99">
        <f>B19+B20</f>
        <v>69042.004849808378</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34521.002424904189</v>
      </c>
      <c r="C23" s="51"/>
      <c r="D23" s="51"/>
      <c r="E23" s="51"/>
      <c r="F23" s="51"/>
      <c r="G23" s="51"/>
      <c r="H23" s="51"/>
      <c r="I23" s="51"/>
      <c r="J23" s="51"/>
      <c r="K23" s="51"/>
      <c r="L23" s="51"/>
    </row>
    <row r="24" spans="1:12">
      <c r="A24" s="48" t="s">
        <v>44</v>
      </c>
      <c r="B24" s="92">
        <f>B21*(1-B22)+B23*B22</f>
        <v>69042.004849808378</v>
      </c>
      <c r="C24" s="51"/>
      <c r="D24" s="51"/>
      <c r="E24" s="51"/>
      <c r="F24" s="51"/>
      <c r="G24" s="51"/>
      <c r="H24" s="51"/>
      <c r="I24" s="51"/>
      <c r="J24" s="51"/>
      <c r="K24" s="51"/>
      <c r="L24" s="51"/>
    </row>
    <row r="25" spans="1:12">
      <c r="A25" s="48" t="s">
        <v>392</v>
      </c>
      <c r="B25" s="92">
        <f>IF('Input sheet'!B14="Yes",'Input sheet'!B12+'Operating lease converter'!C28,'Input sheet'!B12)+'Input sheet'!B18</f>
        <v>3807</v>
      </c>
      <c r="C25" s="51"/>
      <c r="D25" s="51"/>
      <c r="E25" s="51"/>
      <c r="F25" s="51"/>
      <c r="G25" s="51"/>
      <c r="H25" s="51"/>
      <c r="I25" s="51"/>
      <c r="J25" s="51"/>
      <c r="K25" s="51"/>
      <c r="L25" s="51"/>
    </row>
    <row r="26" spans="1:12">
      <c r="A26" s="48" t="s">
        <v>394</v>
      </c>
      <c r="B26" s="92">
        <f>'Input sheet'!B17</f>
        <v>2081</v>
      </c>
      <c r="C26" s="51"/>
      <c r="D26" s="51"/>
      <c r="E26" s="51"/>
      <c r="F26" s="51"/>
      <c r="G26" s="51"/>
      <c r="H26" s="51"/>
      <c r="I26" s="51"/>
      <c r="J26" s="51"/>
      <c r="K26" s="51"/>
      <c r="L26" s="51"/>
    </row>
    <row r="27" spans="1:12">
      <c r="A27" s="48" t="s">
        <v>391</v>
      </c>
      <c r="B27" s="92">
        <f>IF('Input sheet'!B59="YES",'Input sheet'!B15-'Input sheet'!B60*('Input sheet'!B22-'Input sheet'!B61),'Input sheet'!B15)</f>
        <v>1996</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65150.004849808378</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65150.004849808378</v>
      </c>
      <c r="C31" s="51"/>
      <c r="D31" s="51"/>
      <c r="E31" s="51"/>
      <c r="F31" s="51"/>
      <c r="G31" s="51"/>
      <c r="H31" s="51"/>
      <c r="I31" s="51"/>
      <c r="J31" s="51"/>
      <c r="K31" s="51"/>
      <c r="L31" s="51"/>
    </row>
    <row r="32" spans="1:12">
      <c r="A32" s="48" t="s">
        <v>13</v>
      </c>
      <c r="B32" s="103">
        <f>'Input sheet'!B19</f>
        <v>244.4</v>
      </c>
      <c r="C32" s="51"/>
      <c r="D32" s="51"/>
      <c r="E32" s="51"/>
      <c r="F32" s="51"/>
      <c r="G32" s="51"/>
      <c r="H32" s="51"/>
      <c r="I32" s="51"/>
      <c r="J32" s="51"/>
      <c r="K32" s="51"/>
      <c r="L32" s="51"/>
    </row>
    <row r="33" spans="1:13">
      <c r="A33" s="48" t="s">
        <v>96</v>
      </c>
      <c r="B33" s="104">
        <f>B31/B32</f>
        <v>266.57121460641724</v>
      </c>
      <c r="C33" s="51"/>
      <c r="D33" s="51"/>
      <c r="E33" s="51"/>
      <c r="F33" s="51"/>
      <c r="G33" s="51"/>
      <c r="H33" s="51"/>
      <c r="I33" s="51"/>
      <c r="J33" s="51"/>
      <c r="K33" s="51"/>
      <c r="L33" s="51"/>
    </row>
    <row r="34" spans="1:13">
      <c r="A34" s="48" t="s">
        <v>103</v>
      </c>
      <c r="B34" s="105">
        <f>'Input sheet'!B20</f>
        <v>276.91000000000003</v>
      </c>
      <c r="C34" s="51"/>
      <c r="D34" s="51"/>
      <c r="E34" s="51"/>
      <c r="F34" s="51"/>
      <c r="G34" s="51"/>
      <c r="H34" s="51"/>
      <c r="I34" s="51"/>
      <c r="J34" s="51"/>
      <c r="K34" s="51"/>
      <c r="L34" s="51"/>
    </row>
    <row r="35" spans="1:13">
      <c r="A35" s="48" t="s">
        <v>52</v>
      </c>
      <c r="B35" s="95">
        <f>B34/B33</f>
        <v>1.0387843278909452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1.6201395812562314</v>
      </c>
      <c r="D38" s="106">
        <f>C38</f>
        <v>1.6201395812562314</v>
      </c>
      <c r="E38" s="106">
        <f t="shared" ref="E38:L38" si="8">D38</f>
        <v>1.6201395812562314</v>
      </c>
      <c r="F38" s="106">
        <f t="shared" si="8"/>
        <v>1.6201395812562314</v>
      </c>
      <c r="G38" s="106">
        <f t="shared" si="8"/>
        <v>1.6201395812562314</v>
      </c>
      <c r="H38" s="106">
        <f t="shared" si="8"/>
        <v>1.6201395812562314</v>
      </c>
      <c r="I38" s="106">
        <f t="shared" si="8"/>
        <v>1.6201395812562314</v>
      </c>
      <c r="J38" s="106">
        <f t="shared" si="8"/>
        <v>1.6201395812562314</v>
      </c>
      <c r="K38" s="106">
        <f t="shared" si="8"/>
        <v>1.6201395812562314</v>
      </c>
      <c r="L38" s="106">
        <f t="shared" si="8"/>
        <v>1.6201395812562314</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4012</v>
      </c>
      <c r="C39" s="108">
        <f t="shared" ref="C39:L39" si="9">B39+C8</f>
        <v>4212.6000000000004</v>
      </c>
      <c r="D39" s="108">
        <f t="shared" si="9"/>
        <v>4423.2300000000005</v>
      </c>
      <c r="E39" s="108">
        <f t="shared" si="9"/>
        <v>4644.3915000000006</v>
      </c>
      <c r="F39" s="108">
        <f t="shared" si="9"/>
        <v>4876.6110750000007</v>
      </c>
      <c r="G39" s="108">
        <f t="shared" si="9"/>
        <v>5120.4416287500007</v>
      </c>
      <c r="H39" s="108">
        <f t="shared" si="9"/>
        <v>5342.3615689400249</v>
      </c>
      <c r="I39" s="108">
        <f t="shared" si="9"/>
        <v>5538.3193912887455</v>
      </c>
      <c r="J39" s="108">
        <f t="shared" si="9"/>
        <v>5704.5797394152332</v>
      </c>
      <c r="K39" s="108">
        <f t="shared" si="9"/>
        <v>5837.8387221279736</v>
      </c>
      <c r="L39" s="108">
        <f t="shared" si="9"/>
        <v>5935.3306287875102</v>
      </c>
      <c r="M39" s="98"/>
    </row>
    <row r="40" spans="1:13">
      <c r="A40" s="44" t="s">
        <v>19</v>
      </c>
      <c r="B40" s="94">
        <f t="shared" ref="B40:L40" si="10">B7/B39</f>
        <v>0.64096236291126629</v>
      </c>
      <c r="C40" s="90">
        <f t="shared" si="10"/>
        <v>0.64092293120638077</v>
      </c>
      <c r="D40" s="90">
        <f t="shared" si="10"/>
        <v>0.64088349950149548</v>
      </c>
      <c r="E40" s="90">
        <f t="shared" si="10"/>
        <v>0.64084406779661007</v>
      </c>
      <c r="F40" s="90">
        <f t="shared" si="10"/>
        <v>0.64080463609172489</v>
      </c>
      <c r="G40" s="90">
        <f t="shared" si="10"/>
        <v>0.64076520438683937</v>
      </c>
      <c r="H40" s="90">
        <f t="shared" si="10"/>
        <v>0.63412263210368891</v>
      </c>
      <c r="I40" s="90">
        <f t="shared" si="10"/>
        <v>0.62748005982053834</v>
      </c>
      <c r="J40" s="90">
        <f t="shared" si="10"/>
        <v>0.62083748753738777</v>
      </c>
      <c r="K40" s="90">
        <f t="shared" si="10"/>
        <v>0.61419491525423731</v>
      </c>
      <c r="L40" s="110">
        <f t="shared" si="10"/>
        <v>0.60755234297108673</v>
      </c>
      <c r="M40" s="90">
        <f>IF('Input sheet'!B43="Yes",'Input sheet'!B44,'Valuation output'!L12)</f>
        <v>6.1699999999999991E-2</v>
      </c>
    </row>
    <row r="41" spans="1:13">
      <c r="A41" s="46"/>
    </row>
  </sheetData>
  <phoneticPr fontId="7"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S&amp;P Global</v>
      </c>
      <c r="B1" s="419"/>
      <c r="C1" s="419"/>
      <c r="D1" s="419"/>
      <c r="E1" s="419"/>
      <c r="F1" s="419"/>
      <c r="G1" s="419"/>
    </row>
    <row r="2" spans="1:11">
      <c r="A2" s="420" t="s">
        <v>629</v>
      </c>
      <c r="B2" s="420"/>
      <c r="C2" s="420"/>
      <c r="D2" s="420"/>
      <c r="E2" s="420"/>
      <c r="F2" s="420"/>
      <c r="G2" s="420"/>
    </row>
    <row r="3" spans="1:11" ht="16" customHeight="1">
      <c r="A3" s="373">
        <v>0</v>
      </c>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6500</v>
      </c>
      <c r="C9" s="275">
        <f>'Input sheet'!B24</f>
        <v>0.05</v>
      </c>
      <c r="D9" s="275">
        <f>F9</f>
        <v>1.67E-2</v>
      </c>
      <c r="E9" s="276"/>
      <c r="F9" s="275">
        <f>'Valuation output'!M2</f>
        <v>1.67E-2</v>
      </c>
      <c r="G9" s="299" t="s">
        <v>757</v>
      </c>
      <c r="H9" s="391" t="s">
        <v>655</v>
      </c>
      <c r="I9" s="392"/>
      <c r="J9" s="392"/>
      <c r="K9" s="393"/>
    </row>
    <row r="10" spans="1:11">
      <c r="A10" s="273" t="s">
        <v>642</v>
      </c>
      <c r="B10" s="275">
        <f>'Valuation output'!B4</f>
        <v>0.50015384615384617</v>
      </c>
      <c r="C10" s="277">
        <f>B10</f>
        <v>0.50015384615384617</v>
      </c>
      <c r="D10" s="278">
        <f>F10</f>
        <v>0.5</v>
      </c>
      <c r="E10" s="278"/>
      <c r="F10" s="275">
        <f>'Valuation output'!M4</f>
        <v>0.5</v>
      </c>
      <c r="G10" s="304" t="s">
        <v>758</v>
      </c>
      <c r="H10" s="394"/>
      <c r="I10" s="395"/>
      <c r="J10" s="395"/>
      <c r="K10" s="396"/>
    </row>
    <row r="11" spans="1:11">
      <c r="A11" s="273" t="s">
        <v>142</v>
      </c>
      <c r="B11" s="275">
        <f>'Valuation output'!B6</f>
        <v>0.20899999999999999</v>
      </c>
      <c r="C11" s="277">
        <f>B11</f>
        <v>0.20899999999999999</v>
      </c>
      <c r="D11" s="278">
        <f>F11</f>
        <v>0.25</v>
      </c>
      <c r="E11" s="278"/>
      <c r="F11" s="275">
        <f>'Valuation output'!M6</f>
        <v>0.25</v>
      </c>
      <c r="G11" s="304" t="s">
        <v>759</v>
      </c>
      <c r="H11" s="394"/>
      <c r="I11" s="395"/>
      <c r="J11" s="395"/>
      <c r="K11" s="396"/>
    </row>
    <row r="12" spans="1:11">
      <c r="A12" s="273" t="s">
        <v>643</v>
      </c>
      <c r="B12" s="276"/>
      <c r="C12" s="279" t="s">
        <v>647</v>
      </c>
      <c r="D12" s="280">
        <f>'Input sheet'!B27</f>
        <v>1.6201395812562314</v>
      </c>
      <c r="E12" s="281" t="s">
        <v>659</v>
      </c>
      <c r="F12" s="282">
        <f>'Valuation output'!M2/'Valuation output'!M40</f>
        <v>0.27066450567260941</v>
      </c>
      <c r="G12" s="304" t="s">
        <v>760</v>
      </c>
      <c r="H12" s="394"/>
      <c r="I12" s="395"/>
      <c r="J12" s="395"/>
      <c r="K12" s="396"/>
    </row>
    <row r="13" spans="1:11">
      <c r="A13" s="306" t="s">
        <v>657</v>
      </c>
      <c r="B13" s="310">
        <f>'Valuation output'!B40</f>
        <v>0.64096236291126629</v>
      </c>
      <c r="C13" s="313" t="s">
        <v>658</v>
      </c>
      <c r="D13" s="314">
        <f>Diagnostics!B6</f>
        <v>0.8095498592210908</v>
      </c>
      <c r="E13" s="307"/>
      <c r="F13" s="308">
        <f>'Valuation output'!M40</f>
        <v>6.1699999999999991E-2</v>
      </c>
      <c r="G13" s="309" t="s">
        <v>761</v>
      </c>
      <c r="H13" s="394"/>
      <c r="I13" s="395"/>
      <c r="J13" s="395"/>
      <c r="K13" s="396"/>
    </row>
    <row r="14" spans="1:11" ht="17" thickBot="1">
      <c r="A14" s="283" t="s">
        <v>644</v>
      </c>
      <c r="B14" s="311"/>
      <c r="C14" s="277">
        <f>'Valuation output'!C12</f>
        <v>2.1625596525851082E-2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6825</v>
      </c>
      <c r="C17" s="287">
        <f>'Valuation output'!C4</f>
        <v>0.50012307692307689</v>
      </c>
      <c r="D17" s="274">
        <f>B17*C17</f>
        <v>3413.3399999999997</v>
      </c>
      <c r="E17" s="286">
        <f>'Valuation output'!C7</f>
        <v>2699.9519399999999</v>
      </c>
      <c r="F17" s="286">
        <f>'Valuation output'!C8</f>
        <v>200.6</v>
      </c>
      <c r="G17" s="317">
        <f>E17-F17</f>
        <v>2499.35194</v>
      </c>
      <c r="H17" s="403"/>
      <c r="I17" s="404"/>
      <c r="J17" s="404"/>
      <c r="K17" s="405"/>
    </row>
    <row r="18" spans="1:11">
      <c r="A18" s="285">
        <v>2</v>
      </c>
      <c r="B18" s="286">
        <f>'Valuation output'!D3</f>
        <v>7166.25</v>
      </c>
      <c r="C18" s="287">
        <f>'Valuation output'!D4</f>
        <v>0.50009230769230772</v>
      </c>
      <c r="D18" s="274">
        <f t="shared" ref="D18:D27" si="0">B18*C18</f>
        <v>3583.7865000000002</v>
      </c>
      <c r="E18" s="286">
        <f>'Valuation output'!D7</f>
        <v>2834.7751215000003</v>
      </c>
      <c r="F18" s="286">
        <f>'Valuation output'!D8</f>
        <v>210.63</v>
      </c>
      <c r="G18" s="317">
        <f t="shared" ref="G18:G27" si="1">E18-F18</f>
        <v>2624.1451215000002</v>
      </c>
      <c r="H18" s="403"/>
      <c r="I18" s="404"/>
      <c r="J18" s="404"/>
      <c r="K18" s="405"/>
    </row>
    <row r="19" spans="1:11">
      <c r="A19" s="285">
        <v>3</v>
      </c>
      <c r="B19" s="286">
        <f>'Valuation output'!E3</f>
        <v>7524.5625</v>
      </c>
      <c r="C19" s="287">
        <f>'Valuation output'!E4</f>
        <v>0.50006153846153845</v>
      </c>
      <c r="D19" s="274">
        <f t="shared" si="0"/>
        <v>3762.7442999999998</v>
      </c>
      <c r="E19" s="286">
        <f>'Valuation output'!E7</f>
        <v>2976.3307412999998</v>
      </c>
      <c r="F19" s="286">
        <f>'Valuation output'!E8</f>
        <v>221.16149999999999</v>
      </c>
      <c r="G19" s="317">
        <f t="shared" si="1"/>
        <v>2755.1692412999996</v>
      </c>
      <c r="H19" s="403"/>
      <c r="I19" s="404"/>
      <c r="J19" s="404"/>
      <c r="K19" s="405"/>
    </row>
    <row r="20" spans="1:11">
      <c r="A20" s="285">
        <v>4</v>
      </c>
      <c r="B20" s="286">
        <f>'Valuation output'!F3</f>
        <v>7900.7906250000005</v>
      </c>
      <c r="C20" s="287">
        <f>'Valuation output'!F4</f>
        <v>0.50003076923076928</v>
      </c>
      <c r="D20" s="274">
        <f t="shared" si="0"/>
        <v>3950.6384137500008</v>
      </c>
      <c r="E20" s="286">
        <f>'Valuation output'!F7</f>
        <v>3124.9549852762507</v>
      </c>
      <c r="F20" s="286">
        <f>'Valuation output'!F8</f>
        <v>232.21957500000033</v>
      </c>
      <c r="G20" s="317">
        <f t="shared" si="1"/>
        <v>2892.7354102762501</v>
      </c>
      <c r="H20" s="403"/>
      <c r="I20" s="404"/>
      <c r="J20" s="404"/>
      <c r="K20" s="405"/>
    </row>
    <row r="21" spans="1:11">
      <c r="A21" s="285">
        <v>5</v>
      </c>
      <c r="B21" s="286">
        <f>'Valuation output'!G3</f>
        <v>8295.8301562500001</v>
      </c>
      <c r="C21" s="287">
        <f>'Valuation output'!G4</f>
        <v>0.5</v>
      </c>
      <c r="D21" s="274">
        <f t="shared" si="0"/>
        <v>4147.915078125</v>
      </c>
      <c r="E21" s="286">
        <f>'Valuation output'!G7</f>
        <v>3281.0008267968751</v>
      </c>
      <c r="F21" s="286">
        <f>'Valuation output'!G8</f>
        <v>243.83055374999969</v>
      </c>
      <c r="G21" s="317">
        <f t="shared" si="1"/>
        <v>3037.1702730468755</v>
      </c>
      <c r="H21" s="403"/>
      <c r="I21" s="404"/>
      <c r="J21" s="404"/>
      <c r="K21" s="405"/>
    </row>
    <row r="22" spans="1:11">
      <c r="A22" s="285">
        <v>6</v>
      </c>
      <c r="B22" s="286">
        <f>'Valuation output'!H3</f>
        <v>8655.371435221874</v>
      </c>
      <c r="C22" s="287">
        <f>'Valuation output'!H4</f>
        <v>0.5</v>
      </c>
      <c r="D22" s="274">
        <f t="shared" si="0"/>
        <v>4327.685717610937</v>
      </c>
      <c r="E22" s="286">
        <f>'Valuation output'!H7</f>
        <v>3387.7123797458416</v>
      </c>
      <c r="F22" s="286">
        <f>'Valuation output'!H8</f>
        <v>221.91994019002431</v>
      </c>
      <c r="G22" s="317">
        <f t="shared" si="1"/>
        <v>3165.7924395558175</v>
      </c>
      <c r="H22" s="403"/>
      <c r="I22" s="404"/>
      <c r="J22" s="404"/>
      <c r="K22" s="405"/>
    </row>
    <row r="23" spans="1:11">
      <c r="A23" s="285">
        <v>7</v>
      </c>
      <c r="B23" s="286">
        <f>'Valuation output'!I3</f>
        <v>8972.8504594658134</v>
      </c>
      <c r="C23" s="287">
        <f>'Valuation output'!I4</f>
        <v>0.5</v>
      </c>
      <c r="D23" s="274">
        <f t="shared" si="0"/>
        <v>4486.4252297329067</v>
      </c>
      <c r="E23" s="286">
        <f>'Valuation output'!I7</f>
        <v>3475.1849829511093</v>
      </c>
      <c r="F23" s="286">
        <f>'Valuation output'!I8</f>
        <v>195.95782234872075</v>
      </c>
      <c r="G23" s="317">
        <f t="shared" si="1"/>
        <v>3279.2271606023887</v>
      </c>
      <c r="H23" s="403"/>
      <c r="I23" s="404"/>
      <c r="J23" s="404"/>
      <c r="K23" s="405"/>
    </row>
    <row r="24" spans="1:11">
      <c r="A24" s="285">
        <v>8</v>
      </c>
      <c r="B24" s="286">
        <f>'Valuation output'!J3</f>
        <v>9242.215430258977</v>
      </c>
      <c r="C24" s="287">
        <f>'Valuation output'!J4</f>
        <v>0.5</v>
      </c>
      <c r="D24" s="274">
        <f t="shared" si="0"/>
        <v>4621.1077151294885</v>
      </c>
      <c r="E24" s="286">
        <f>'Valuation output'!J7</f>
        <v>3541.6169528752398</v>
      </c>
      <c r="F24" s="286">
        <f>'Valuation output'!J8</f>
        <v>166.26034812648805</v>
      </c>
      <c r="G24" s="317">
        <f t="shared" si="1"/>
        <v>3375.3566047487516</v>
      </c>
      <c r="H24" s="403"/>
      <c r="I24" s="404"/>
      <c r="J24" s="404"/>
      <c r="K24" s="405"/>
    </row>
    <row r="25" spans="1:11">
      <c r="A25" s="285">
        <v>9</v>
      </c>
      <c r="B25" s="286">
        <f>'Valuation output'!K3</f>
        <v>9458.1135827098278</v>
      </c>
      <c r="C25" s="287">
        <f>'Valuation output'!K4</f>
        <v>0.5</v>
      </c>
      <c r="D25" s="274">
        <f t="shared" si="0"/>
        <v>4729.0567913549139</v>
      </c>
      <c r="E25" s="286">
        <f>'Valuation output'!K7</f>
        <v>3585.5708592052956</v>
      </c>
      <c r="F25" s="286">
        <f>'Valuation output'!K8</f>
        <v>133.25898271274053</v>
      </c>
      <c r="G25" s="317">
        <f t="shared" si="1"/>
        <v>3452.3118764925553</v>
      </c>
      <c r="H25" s="403"/>
      <c r="I25" s="404"/>
      <c r="J25" s="404"/>
      <c r="K25" s="405"/>
    </row>
    <row r="26" spans="1:11">
      <c r="A26" s="285">
        <v>10</v>
      </c>
      <c r="B26" s="286">
        <f>'Valuation output'!L3</f>
        <v>9616.0640795410818</v>
      </c>
      <c r="C26" s="287">
        <f>'Valuation output'!L4</f>
        <v>0.5</v>
      </c>
      <c r="D26" s="274">
        <f t="shared" si="0"/>
        <v>4808.0320397705409</v>
      </c>
      <c r="E26" s="286">
        <f>'Valuation output'!L7</f>
        <v>3606.0240298279055</v>
      </c>
      <c r="F26" s="286">
        <f>'Valuation output'!L8</f>
        <v>97.491906659537065</v>
      </c>
      <c r="G26" s="317">
        <f t="shared" si="1"/>
        <v>3508.5321231683683</v>
      </c>
      <c r="H26" s="403"/>
      <c r="I26" s="404"/>
      <c r="J26" s="404"/>
      <c r="K26" s="405"/>
    </row>
    <row r="27" spans="1:11" ht="17" thickBot="1">
      <c r="A27" s="288" t="s">
        <v>45</v>
      </c>
      <c r="B27" s="289">
        <f>'Valuation output'!M3</f>
        <v>9776.6523496694172</v>
      </c>
      <c r="C27" s="290">
        <f>'Valuation output'!M4</f>
        <v>0.5</v>
      </c>
      <c r="D27" s="274">
        <f t="shared" si="0"/>
        <v>4888.3261748347086</v>
      </c>
      <c r="E27" s="289">
        <f>'Valuation output'!M7</f>
        <v>3666.2446311260314</v>
      </c>
      <c r="F27" s="289">
        <f>'Valuation output'!M8</f>
        <v>992.3222907585855</v>
      </c>
      <c r="G27" s="317">
        <f t="shared" si="1"/>
        <v>2673.9223403674459</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59420.496452609914</v>
      </c>
      <c r="E29" s="292"/>
      <c r="F29" s="293"/>
      <c r="G29" s="294"/>
      <c r="H29" s="409" t="s">
        <v>660</v>
      </c>
      <c r="I29" s="410"/>
      <c r="J29" s="410"/>
      <c r="K29" s="410"/>
    </row>
    <row r="30" spans="1:11">
      <c r="A30" s="367" t="s">
        <v>639</v>
      </c>
      <c r="B30" s="368"/>
      <c r="C30" s="369"/>
      <c r="D30" s="295">
        <f>'Valuation output'!B19</f>
        <v>42720.005181533212</v>
      </c>
      <c r="E30" s="296"/>
      <c r="F30" s="297"/>
      <c r="G30" s="298"/>
      <c r="H30" s="409"/>
      <c r="I30" s="410"/>
      <c r="J30" s="410"/>
      <c r="K30" s="410"/>
    </row>
    <row r="31" spans="1:11">
      <c r="A31" s="367" t="s">
        <v>46</v>
      </c>
      <c r="B31" s="368"/>
      <c r="C31" s="369"/>
      <c r="D31" s="295">
        <f>'Valuation output'!B20</f>
        <v>26321.999668275159</v>
      </c>
      <c r="E31" s="296"/>
      <c r="F31" s="297"/>
      <c r="G31" s="298"/>
      <c r="H31" s="409"/>
      <c r="I31" s="410"/>
      <c r="J31" s="410"/>
      <c r="K31" s="410"/>
    </row>
    <row r="32" spans="1:11">
      <c r="A32" s="367" t="s">
        <v>44</v>
      </c>
      <c r="B32" s="368"/>
      <c r="C32" s="369"/>
      <c r="D32" s="295">
        <f>'Valuation output'!B21</f>
        <v>69042.004849808378</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5888</v>
      </c>
      <c r="E34" s="296"/>
      <c r="F34" s="297"/>
      <c r="G34" s="298"/>
      <c r="H34" s="409"/>
      <c r="I34" s="410"/>
      <c r="J34" s="410"/>
      <c r="K34" s="410"/>
    </row>
    <row r="35" spans="1:11">
      <c r="A35" s="367" t="s">
        <v>651</v>
      </c>
      <c r="B35" s="368"/>
      <c r="C35" s="369"/>
      <c r="D35" s="295">
        <f>'Valuation output'!B27+'Valuation output'!B28</f>
        <v>1996</v>
      </c>
      <c r="E35" s="296"/>
      <c r="F35" s="297"/>
      <c r="G35" s="298"/>
      <c r="H35" s="409"/>
      <c r="I35" s="410"/>
      <c r="J35" s="410"/>
      <c r="K35" s="410"/>
    </row>
    <row r="36" spans="1:11">
      <c r="A36" s="367" t="s">
        <v>54</v>
      </c>
      <c r="B36" s="368"/>
      <c r="C36" s="369"/>
      <c r="D36" s="295">
        <f>D32-D33-D34+D35</f>
        <v>65150.004849808378</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244.4</v>
      </c>
      <c r="E38" s="297"/>
      <c r="F38" s="300"/>
      <c r="G38" s="298"/>
      <c r="H38" s="409"/>
      <c r="I38" s="410"/>
      <c r="J38" s="410"/>
      <c r="K38" s="410"/>
    </row>
    <row r="39" spans="1:11" ht="17" thickBot="1">
      <c r="A39" s="415" t="s">
        <v>623</v>
      </c>
      <c r="B39" s="416"/>
      <c r="C39" s="416"/>
      <c r="D39" s="271">
        <f>(D36-D37)/D38</f>
        <v>266.57121460641724</v>
      </c>
      <c r="E39" s="417" t="s">
        <v>653</v>
      </c>
      <c r="F39" s="418"/>
      <c r="G39" s="315">
        <f>'Input sheet'!B20</f>
        <v>276.91000000000003</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4012</v>
      </c>
    </row>
    <row r="3" spans="1:4" s="144" customFormat="1" ht="13">
      <c r="A3" s="147" t="s">
        <v>8</v>
      </c>
      <c r="B3" s="148">
        <f>'Valuation output'!L39</f>
        <v>5935.3306287875102</v>
      </c>
    </row>
    <row r="4" spans="1:4" s="144" customFormat="1" ht="13">
      <c r="A4" s="147" t="s">
        <v>9</v>
      </c>
      <c r="B4" s="148">
        <f>B3-B2</f>
        <v>1923.3306287875102</v>
      </c>
    </row>
    <row r="5" spans="1:4" s="144" customFormat="1" ht="13">
      <c r="A5" s="147" t="s">
        <v>10</v>
      </c>
      <c r="B5" s="148">
        <f>'Valuation output'!L5-'Valuation output'!B5</f>
        <v>1557.0320397705409</v>
      </c>
    </row>
    <row r="6" spans="1:4" s="144" customFormat="1" ht="13">
      <c r="A6" s="147" t="s">
        <v>4</v>
      </c>
      <c r="B6" s="149">
        <f>B5/B4</f>
        <v>0.8095498592210908</v>
      </c>
    </row>
    <row r="7" spans="1:4" s="144" customFormat="1" ht="13">
      <c r="A7" s="147" t="s">
        <v>5</v>
      </c>
      <c r="B7" s="149">
        <f>'Valuation output'!L40</f>
        <v>0.60755234297108673</v>
      </c>
    </row>
    <row r="8" spans="1:4" s="144" customFormat="1" ht="13">
      <c r="A8" s="147" t="s">
        <v>240</v>
      </c>
      <c r="B8" s="149">
        <f>(1/'Valuation output'!L13)^(1/10)-1</f>
        <v>3.3547635901868711E-2</v>
      </c>
    </row>
    <row r="9" spans="1:4" s="144" customFormat="1" ht="14" thickBot="1">
      <c r="A9" s="150" t="s">
        <v>28</v>
      </c>
      <c r="B9" s="151">
        <f>'Valuation output'!B33/'Valuation output'!B34</f>
        <v>0.96266373408839412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6500</v>
      </c>
      <c r="D2" s="331">
        <f>'Valuation output'!B4</f>
        <v>0.50015384615384617</v>
      </c>
      <c r="E2" s="330">
        <f>B2*D2</f>
        <v>3251</v>
      </c>
      <c r="F2" s="330">
        <f>'Valuation output'!B10</f>
        <v>0</v>
      </c>
      <c r="G2" s="330">
        <f>E2-H2</f>
        <v>679.45899999999983</v>
      </c>
      <c r="H2" s="330">
        <f>'Valuation output'!B7</f>
        <v>2571.5410000000002</v>
      </c>
    </row>
    <row r="3" spans="1:8" s="329" customFormat="1">
      <c r="A3" s="329">
        <v>1</v>
      </c>
      <c r="B3" s="330">
        <f>'Valuation output'!C3</f>
        <v>6825</v>
      </c>
      <c r="C3" s="331">
        <f>'Valuation output'!C2</f>
        <v>0.05</v>
      </c>
      <c r="D3" s="331">
        <f>'Valuation output'!C4</f>
        <v>0.50012307692307689</v>
      </c>
      <c r="E3" s="330">
        <f>B3*D3</f>
        <v>3413.3399999999997</v>
      </c>
      <c r="F3" s="330">
        <f>'Valuation output'!C10</f>
        <v>0</v>
      </c>
      <c r="G3" s="330">
        <f t="shared" ref="G3:G12" si="0">E3-H3</f>
        <v>713.38805999999977</v>
      </c>
      <c r="H3" s="330">
        <f>'Valuation output'!C7</f>
        <v>2699.9519399999999</v>
      </c>
    </row>
    <row r="4" spans="1:8" s="329" customFormat="1">
      <c r="A4" s="329">
        <v>2</v>
      </c>
      <c r="B4" s="333">
        <f>'Valuation output'!D3</f>
        <v>7166.25</v>
      </c>
      <c r="C4" s="331">
        <f>B4/B3-1</f>
        <v>5.0000000000000044E-2</v>
      </c>
      <c r="D4" s="331">
        <f>'Valuation output'!D4</f>
        <v>0.50009230769230772</v>
      </c>
      <c r="E4" s="330">
        <f t="shared" ref="E4:E12" si="1">B4*D4</f>
        <v>3583.7865000000002</v>
      </c>
      <c r="F4" s="330">
        <f>'Valuation output'!D10</f>
        <v>0</v>
      </c>
      <c r="G4" s="330">
        <f t="shared" si="0"/>
        <v>749.01137849999986</v>
      </c>
      <c r="H4" s="330">
        <f>'Valuation output'!D7</f>
        <v>2834.7751215000003</v>
      </c>
    </row>
    <row r="5" spans="1:8" s="329" customFormat="1">
      <c r="A5" s="329">
        <v>3</v>
      </c>
      <c r="B5" s="330">
        <f>'Valuation output'!E3</f>
        <v>7524.5625</v>
      </c>
      <c r="C5" s="331">
        <f t="shared" ref="C5:C12" si="2">B5/B4-1</f>
        <v>5.0000000000000044E-2</v>
      </c>
      <c r="D5" s="331">
        <f>'Valuation output'!E4</f>
        <v>0.50006153846153845</v>
      </c>
      <c r="E5" s="330">
        <f t="shared" si="1"/>
        <v>3762.7442999999998</v>
      </c>
      <c r="F5" s="330">
        <f>'Valuation output'!E10</f>
        <v>0</v>
      </c>
      <c r="G5" s="330">
        <f t="shared" si="0"/>
        <v>786.41355870000007</v>
      </c>
      <c r="H5" s="330">
        <f>'Valuation output'!E7</f>
        <v>2976.3307412999998</v>
      </c>
    </row>
    <row r="6" spans="1:8" s="329" customFormat="1">
      <c r="A6" s="329">
        <v>4</v>
      </c>
      <c r="B6" s="330">
        <f>'Valuation output'!F3</f>
        <v>7900.7906250000005</v>
      </c>
      <c r="C6" s="331">
        <f t="shared" si="2"/>
        <v>5.0000000000000044E-2</v>
      </c>
      <c r="D6" s="331">
        <f>'Valuation output'!F4</f>
        <v>0.50003076923076928</v>
      </c>
      <c r="E6" s="330">
        <f t="shared" si="1"/>
        <v>3950.6384137500008</v>
      </c>
      <c r="F6" s="330">
        <f>'Valuation output'!F10</f>
        <v>0</v>
      </c>
      <c r="G6" s="330">
        <f t="shared" si="0"/>
        <v>825.68342847375015</v>
      </c>
      <c r="H6" s="330">
        <f>'Valuation output'!F7</f>
        <v>3124.9549852762507</v>
      </c>
    </row>
    <row r="7" spans="1:8" s="329" customFormat="1">
      <c r="A7" s="329">
        <v>5</v>
      </c>
      <c r="B7" s="330">
        <f>'Valuation output'!G3</f>
        <v>8295.8301562500001</v>
      </c>
      <c r="C7" s="331">
        <f t="shared" si="2"/>
        <v>5.0000000000000044E-2</v>
      </c>
      <c r="D7" s="331">
        <f>'Valuation output'!G4</f>
        <v>0.5</v>
      </c>
      <c r="E7" s="330">
        <f t="shared" si="1"/>
        <v>4147.915078125</v>
      </c>
      <c r="F7" s="330">
        <f>'Valuation output'!G10</f>
        <v>0</v>
      </c>
      <c r="G7" s="330">
        <f t="shared" si="0"/>
        <v>866.91425132812492</v>
      </c>
      <c r="H7" s="330">
        <f>'Valuation output'!G7</f>
        <v>3281.0008267968751</v>
      </c>
    </row>
    <row r="8" spans="1:8" s="329" customFormat="1">
      <c r="A8" s="329">
        <v>6</v>
      </c>
      <c r="B8" s="330">
        <f>'Valuation output'!H3</f>
        <v>8655.371435221874</v>
      </c>
      <c r="C8" s="331">
        <f t="shared" si="2"/>
        <v>4.3339999999999934E-2</v>
      </c>
      <c r="D8" s="331">
        <f>'Valuation output'!H4</f>
        <v>0.5</v>
      </c>
      <c r="E8" s="330">
        <f t="shared" si="1"/>
        <v>4327.685717610937</v>
      </c>
      <c r="F8" s="330">
        <f>'Valuation output'!H10</f>
        <v>0</v>
      </c>
      <c r="G8" s="330">
        <f t="shared" si="0"/>
        <v>939.97333786509535</v>
      </c>
      <c r="H8" s="330">
        <f>'Valuation output'!H7</f>
        <v>3387.7123797458416</v>
      </c>
    </row>
    <row r="9" spans="1:8" s="329" customFormat="1">
      <c r="A9" s="329">
        <v>7</v>
      </c>
      <c r="B9" s="330">
        <f>'Valuation output'!I3</f>
        <v>8972.8504594658134</v>
      </c>
      <c r="C9" s="331">
        <f t="shared" si="2"/>
        <v>3.6680000000000046E-2</v>
      </c>
      <c r="D9" s="331">
        <f>'Valuation output'!I4</f>
        <v>0.5</v>
      </c>
      <c r="E9" s="330">
        <f t="shared" si="1"/>
        <v>4486.4252297329067</v>
      </c>
      <c r="F9" s="330">
        <f>'Valuation output'!I10</f>
        <v>0</v>
      </c>
      <c r="G9" s="330">
        <f t="shared" si="0"/>
        <v>1011.2402467817974</v>
      </c>
      <c r="H9" s="330">
        <f>'Valuation output'!I7</f>
        <v>3475.1849829511093</v>
      </c>
    </row>
    <row r="10" spans="1:8" s="329" customFormat="1">
      <c r="A10" s="329">
        <v>8</v>
      </c>
      <c r="B10" s="330">
        <f>'Valuation output'!J3</f>
        <v>9242.215430258977</v>
      </c>
      <c r="C10" s="331">
        <f t="shared" si="2"/>
        <v>3.0019999999999936E-2</v>
      </c>
      <c r="D10" s="331">
        <f>'Valuation output'!J4</f>
        <v>0.5</v>
      </c>
      <c r="E10" s="330">
        <f t="shared" si="1"/>
        <v>4621.1077151294885</v>
      </c>
      <c r="F10" s="330">
        <f>'Valuation output'!J10</f>
        <v>0</v>
      </c>
      <c r="G10" s="330">
        <f t="shared" si="0"/>
        <v>1079.4907622542487</v>
      </c>
      <c r="H10" s="330">
        <f>'Valuation output'!J7</f>
        <v>3541.6169528752398</v>
      </c>
    </row>
    <row r="11" spans="1:8" s="329" customFormat="1">
      <c r="A11" s="329">
        <v>9</v>
      </c>
      <c r="B11" s="330">
        <f>'Valuation output'!K3</f>
        <v>9458.1135827098278</v>
      </c>
      <c r="C11" s="331">
        <f t="shared" si="2"/>
        <v>2.3360000000000047E-2</v>
      </c>
      <c r="D11" s="331">
        <f>'Valuation output'!K4</f>
        <v>0.5</v>
      </c>
      <c r="E11" s="330">
        <f t="shared" si="1"/>
        <v>4729.0567913549139</v>
      </c>
      <c r="F11" s="330">
        <f>'Valuation output'!K10</f>
        <v>0</v>
      </c>
      <c r="G11" s="330">
        <f t="shared" si="0"/>
        <v>1143.4859321496183</v>
      </c>
      <c r="H11" s="330">
        <f>'Valuation output'!K7</f>
        <v>3585.5708592052956</v>
      </c>
    </row>
    <row r="12" spans="1:8" s="329" customFormat="1">
      <c r="A12" s="329">
        <v>10</v>
      </c>
      <c r="B12" s="330">
        <f>'Valuation output'!L3</f>
        <v>9616.0640795410818</v>
      </c>
      <c r="C12" s="331">
        <f t="shared" si="2"/>
        <v>1.6699999999999937E-2</v>
      </c>
      <c r="D12" s="331">
        <f>'Valuation output'!L4</f>
        <v>0.5</v>
      </c>
      <c r="E12" s="330">
        <f t="shared" si="1"/>
        <v>4808.0320397705409</v>
      </c>
      <c r="F12" s="330">
        <f>'Valuation output'!L10</f>
        <v>0</v>
      </c>
      <c r="G12" s="330">
        <f t="shared" si="0"/>
        <v>1202.0080099426355</v>
      </c>
      <c r="H12" s="330">
        <f>'Valuation output'!L7</f>
        <v>3606.0240298279055</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2571.5410000000002</v>
      </c>
      <c r="G15" s="335">
        <f>'Valuation output'!B39</f>
        <v>4012</v>
      </c>
      <c r="H15" s="336">
        <f>B15/G15</f>
        <v>0.64096236291126629</v>
      </c>
    </row>
    <row r="16" spans="1:8" s="329" customFormat="1">
      <c r="A16" s="329">
        <f t="shared" ref="A16:A24" si="3">A3</f>
        <v>1</v>
      </c>
      <c r="B16" s="330">
        <f t="shared" ref="B16:B25" si="4">H3</f>
        <v>2699.9519399999999</v>
      </c>
      <c r="C16" s="330">
        <f>B3-B2</f>
        <v>325</v>
      </c>
      <c r="D16" s="334">
        <f>'Valuation output'!C38</f>
        <v>1.6201395812562314</v>
      </c>
      <c r="E16" s="330">
        <f>C16/D16</f>
        <v>200.6</v>
      </c>
      <c r="F16" s="330">
        <f>B16-E16</f>
        <v>2499.35194</v>
      </c>
      <c r="G16" s="330">
        <f>G15+E16</f>
        <v>4212.6000000000004</v>
      </c>
      <c r="H16" s="336">
        <f t="shared" ref="H16:H25" si="5">B16/G16</f>
        <v>0.64092293120638077</v>
      </c>
    </row>
    <row r="17" spans="1:8" s="329" customFormat="1">
      <c r="A17" s="329">
        <f t="shared" si="3"/>
        <v>2</v>
      </c>
      <c r="B17" s="330">
        <f t="shared" si="4"/>
        <v>2834.7751215000003</v>
      </c>
      <c r="C17" s="330">
        <f t="shared" ref="C17:C25" si="6">B4-B3</f>
        <v>341.25</v>
      </c>
      <c r="D17" s="334">
        <f>'Valuation output'!D38</f>
        <v>1.6201395812562314</v>
      </c>
      <c r="E17" s="330">
        <f t="shared" ref="E17:E25" si="7">C17/D17</f>
        <v>210.63</v>
      </c>
      <c r="F17" s="330">
        <f t="shared" ref="F17:F25" si="8">B17-E17</f>
        <v>2624.1451215000002</v>
      </c>
      <c r="G17" s="330">
        <f t="shared" ref="G17:G25" si="9">G16+E17</f>
        <v>4423.2300000000005</v>
      </c>
      <c r="H17" s="336">
        <f t="shared" si="5"/>
        <v>0.64088349950149548</v>
      </c>
    </row>
    <row r="18" spans="1:8" s="329" customFormat="1">
      <c r="A18" s="329">
        <f t="shared" si="3"/>
        <v>3</v>
      </c>
      <c r="B18" s="330">
        <f t="shared" si="4"/>
        <v>2976.3307412999998</v>
      </c>
      <c r="C18" s="330">
        <f t="shared" si="6"/>
        <v>358.3125</v>
      </c>
      <c r="D18" s="334">
        <f>'Valuation output'!E38</f>
        <v>1.6201395812562314</v>
      </c>
      <c r="E18" s="330">
        <f t="shared" si="7"/>
        <v>221.16149999999999</v>
      </c>
      <c r="F18" s="330">
        <f t="shared" si="8"/>
        <v>2755.1692412999996</v>
      </c>
      <c r="G18" s="330">
        <f t="shared" si="9"/>
        <v>4644.3915000000006</v>
      </c>
      <c r="H18" s="336">
        <f t="shared" si="5"/>
        <v>0.64084406779661007</v>
      </c>
    </row>
    <row r="19" spans="1:8" s="329" customFormat="1">
      <c r="A19" s="329">
        <f t="shared" si="3"/>
        <v>4</v>
      </c>
      <c r="B19" s="330">
        <f t="shared" si="4"/>
        <v>3124.9549852762507</v>
      </c>
      <c r="C19" s="330">
        <f t="shared" si="6"/>
        <v>376.22812500000055</v>
      </c>
      <c r="D19" s="334">
        <f>'Valuation output'!F38</f>
        <v>1.6201395812562314</v>
      </c>
      <c r="E19" s="330">
        <f t="shared" si="7"/>
        <v>232.21957500000033</v>
      </c>
      <c r="F19" s="330">
        <f t="shared" si="8"/>
        <v>2892.7354102762501</v>
      </c>
      <c r="G19" s="330">
        <f t="shared" si="9"/>
        <v>4876.6110750000007</v>
      </c>
      <c r="H19" s="336">
        <f t="shared" si="5"/>
        <v>0.64080463609172489</v>
      </c>
    </row>
    <row r="20" spans="1:8" s="329" customFormat="1">
      <c r="A20" s="329">
        <f t="shared" si="3"/>
        <v>5</v>
      </c>
      <c r="B20" s="330">
        <f t="shared" si="4"/>
        <v>3281.0008267968751</v>
      </c>
      <c r="C20" s="330">
        <f t="shared" si="6"/>
        <v>395.03953124999953</v>
      </c>
      <c r="D20" s="334">
        <f>'Valuation output'!G38</f>
        <v>1.6201395812562314</v>
      </c>
      <c r="E20" s="330">
        <f t="shared" si="7"/>
        <v>243.83055374999969</v>
      </c>
      <c r="F20" s="330">
        <f t="shared" si="8"/>
        <v>3037.1702730468755</v>
      </c>
      <c r="G20" s="330">
        <f t="shared" si="9"/>
        <v>5120.4416287500007</v>
      </c>
      <c r="H20" s="336">
        <f t="shared" si="5"/>
        <v>0.64076520438683937</v>
      </c>
    </row>
    <row r="21" spans="1:8" s="329" customFormat="1">
      <c r="A21" s="329">
        <f t="shared" si="3"/>
        <v>6</v>
      </c>
      <c r="B21" s="330">
        <f t="shared" si="4"/>
        <v>3387.7123797458416</v>
      </c>
      <c r="C21" s="330">
        <f t="shared" si="6"/>
        <v>359.54127897187391</v>
      </c>
      <c r="D21" s="334">
        <f>'Valuation output'!H38</f>
        <v>1.6201395812562314</v>
      </c>
      <c r="E21" s="330">
        <f t="shared" si="7"/>
        <v>221.91994019002431</v>
      </c>
      <c r="F21" s="330">
        <f t="shared" si="8"/>
        <v>3165.7924395558175</v>
      </c>
      <c r="G21" s="330">
        <f t="shared" si="9"/>
        <v>5342.3615689400249</v>
      </c>
      <c r="H21" s="336">
        <f t="shared" si="5"/>
        <v>0.63412263210368891</v>
      </c>
    </row>
    <row r="22" spans="1:8" s="329" customFormat="1">
      <c r="A22" s="329">
        <f t="shared" si="3"/>
        <v>7</v>
      </c>
      <c r="B22" s="330">
        <f t="shared" si="4"/>
        <v>3475.1849829511093</v>
      </c>
      <c r="C22" s="330">
        <f t="shared" si="6"/>
        <v>317.47902424393942</v>
      </c>
      <c r="D22" s="334">
        <f>'Valuation output'!I38</f>
        <v>1.6201395812562314</v>
      </c>
      <c r="E22" s="330">
        <f t="shared" si="7"/>
        <v>195.95782234872075</v>
      </c>
      <c r="F22" s="330">
        <f t="shared" si="8"/>
        <v>3279.2271606023887</v>
      </c>
      <c r="G22" s="330">
        <f t="shared" si="9"/>
        <v>5538.3193912887455</v>
      </c>
      <c r="H22" s="336">
        <f t="shared" si="5"/>
        <v>0.62748005982053834</v>
      </c>
    </row>
    <row r="23" spans="1:8" s="329" customFormat="1">
      <c r="A23" s="329">
        <f t="shared" si="3"/>
        <v>8</v>
      </c>
      <c r="B23" s="330">
        <f t="shared" si="4"/>
        <v>3541.6169528752398</v>
      </c>
      <c r="C23" s="330">
        <f t="shared" si="6"/>
        <v>269.36497079316359</v>
      </c>
      <c r="D23" s="334">
        <f>'Valuation output'!J38</f>
        <v>1.6201395812562314</v>
      </c>
      <c r="E23" s="330">
        <f t="shared" si="7"/>
        <v>166.26034812648805</v>
      </c>
      <c r="F23" s="330">
        <f t="shared" si="8"/>
        <v>3375.3566047487516</v>
      </c>
      <c r="G23" s="330">
        <f t="shared" si="9"/>
        <v>5704.5797394152332</v>
      </c>
      <c r="H23" s="336">
        <f t="shared" si="5"/>
        <v>0.62083748753738777</v>
      </c>
    </row>
    <row r="24" spans="1:8" s="329" customFormat="1">
      <c r="A24" s="329">
        <f t="shared" si="3"/>
        <v>9</v>
      </c>
      <c r="B24" s="330">
        <f t="shared" si="4"/>
        <v>3585.5708592052956</v>
      </c>
      <c r="C24" s="330">
        <f t="shared" si="6"/>
        <v>215.89815245085083</v>
      </c>
      <c r="D24" s="334">
        <f>'Valuation output'!K38</f>
        <v>1.6201395812562314</v>
      </c>
      <c r="E24" s="330">
        <f t="shared" si="7"/>
        <v>133.25898271274053</v>
      </c>
      <c r="F24" s="330">
        <f t="shared" si="8"/>
        <v>3452.3118764925553</v>
      </c>
      <c r="G24" s="330">
        <f t="shared" si="9"/>
        <v>5837.8387221279736</v>
      </c>
      <c r="H24" s="336">
        <f t="shared" si="5"/>
        <v>0.61419491525423731</v>
      </c>
    </row>
    <row r="25" spans="1:8" s="329" customFormat="1">
      <c r="A25" s="329">
        <f>A12</f>
        <v>10</v>
      </c>
      <c r="B25" s="330">
        <f t="shared" si="4"/>
        <v>3606.0240298279055</v>
      </c>
      <c r="C25" s="330">
        <f t="shared" si="6"/>
        <v>157.95049683125399</v>
      </c>
      <c r="D25" s="334">
        <f>'Valuation output'!L38</f>
        <v>1.6201395812562314</v>
      </c>
      <c r="E25" s="330">
        <f t="shared" si="7"/>
        <v>97.491906659537065</v>
      </c>
      <c r="F25" s="330">
        <f t="shared" si="8"/>
        <v>3508.5321231683683</v>
      </c>
      <c r="G25" s="330">
        <f t="shared" si="9"/>
        <v>5935.3306287875102</v>
      </c>
      <c r="H25" s="336">
        <f t="shared" si="5"/>
        <v>0.60755234297108673</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2.1625596525851082E-2</v>
      </c>
    </row>
    <row r="29" spans="1:8">
      <c r="A29">
        <f t="shared" ref="A29:A37" si="10">A17</f>
        <v>2</v>
      </c>
      <c r="H29" s="324">
        <f>'Valuation output'!D12</f>
        <v>2.1625596525851082E-2</v>
      </c>
    </row>
    <row r="30" spans="1:8">
      <c r="A30">
        <f t="shared" si="10"/>
        <v>3</v>
      </c>
      <c r="H30" s="324">
        <f>'Valuation output'!E12</f>
        <v>2.1625596525851082E-2</v>
      </c>
    </row>
    <row r="31" spans="1:8">
      <c r="A31">
        <f t="shared" si="10"/>
        <v>4</v>
      </c>
      <c r="H31" s="324">
        <f>'Valuation output'!F12</f>
        <v>2.1625596525851082E-2</v>
      </c>
    </row>
    <row r="32" spans="1:8">
      <c r="A32">
        <f t="shared" si="10"/>
        <v>5</v>
      </c>
      <c r="H32" s="324">
        <f>'Valuation output'!G12</f>
        <v>2.1625596525851082E-2</v>
      </c>
    </row>
    <row r="33" spans="1:8">
      <c r="A33">
        <f t="shared" si="10"/>
        <v>6</v>
      </c>
      <c r="H33" s="324">
        <f>'Valuation output'!H12</f>
        <v>2.9640477220680864E-2</v>
      </c>
    </row>
    <row r="34" spans="1:8">
      <c r="A34">
        <f t="shared" si="10"/>
        <v>7</v>
      </c>
      <c r="H34" s="324">
        <f>'Valuation output'!I12</f>
        <v>3.7655357915510647E-2</v>
      </c>
    </row>
    <row r="35" spans="1:8">
      <c r="A35">
        <f t="shared" si="10"/>
        <v>8</v>
      </c>
      <c r="H35" s="324">
        <f>'Valuation output'!J12</f>
        <v>4.5670238610340433E-2</v>
      </c>
    </row>
    <row r="36" spans="1:8">
      <c r="A36">
        <f t="shared" si="10"/>
        <v>9</v>
      </c>
      <c r="H36" s="324">
        <f>'Valuation output'!K12</f>
        <v>5.3685119305170212E-2</v>
      </c>
    </row>
    <row r="37" spans="1:8">
      <c r="A37">
        <f t="shared" si="10"/>
        <v>10</v>
      </c>
      <c r="H37" s="324">
        <f>'Valuation output'!L12</f>
        <v>6.1699999999999991E-2</v>
      </c>
    </row>
    <row r="38" spans="1:8" ht="13" thickBot="1"/>
    <row r="39" spans="1:8" ht="31" thickBot="1">
      <c r="A39" s="328" t="s">
        <v>120</v>
      </c>
      <c r="B39" s="328" t="s">
        <v>680</v>
      </c>
      <c r="C39" s="328" t="s">
        <v>683</v>
      </c>
      <c r="D39" s="328" t="s">
        <v>16</v>
      </c>
      <c r="E39" s="328" t="s">
        <v>684</v>
      </c>
      <c r="F39" s="328" t="s">
        <v>130</v>
      </c>
    </row>
    <row r="40" spans="1:8">
      <c r="A40">
        <f>A28</f>
        <v>1</v>
      </c>
      <c r="B40" s="337">
        <f>H28</f>
        <v>2.1625596525851082E-2</v>
      </c>
      <c r="C40" s="338">
        <f>(1+'Summary Sheet'!B40)</f>
        <v>1.0216255965258512</v>
      </c>
      <c r="D40" s="332">
        <f>F16</f>
        <v>2499.35194</v>
      </c>
      <c r="F40" s="332">
        <f>D40/C40</f>
        <v>2446.446084063788</v>
      </c>
    </row>
    <row r="41" spans="1:8">
      <c r="A41">
        <f t="shared" ref="A41:A49" si="11">A29</f>
        <v>2</v>
      </c>
      <c r="B41" s="337">
        <f t="shared" ref="B41:B49" si="12">H29</f>
        <v>2.1625596525851082E-2</v>
      </c>
      <c r="C41" s="338">
        <f>C40*(1+B41)</f>
        <v>1.0437188594768012</v>
      </c>
      <c r="D41" s="332">
        <f t="shared" ref="D41:D49" si="13">F17</f>
        <v>2624.1451215000002</v>
      </c>
      <c r="F41" s="332">
        <f t="shared" ref="F41:F48" si="14">D41/C41</f>
        <v>2514.2260271271139</v>
      </c>
    </row>
    <row r="42" spans="1:8">
      <c r="A42">
        <f t="shared" si="11"/>
        <v>3</v>
      </c>
      <c r="B42" s="337">
        <f t="shared" si="12"/>
        <v>2.1625596525851082E-2</v>
      </c>
      <c r="C42" s="338">
        <f t="shared" ref="C42:C49" si="15">C41*(1+B42)</f>
        <v>1.0662899024182682</v>
      </c>
      <c r="D42" s="332">
        <f t="shared" si="13"/>
        <v>2755.1692412999996</v>
      </c>
      <c r="F42" s="332">
        <f t="shared" si="14"/>
        <v>2583.883834078777</v>
      </c>
    </row>
    <row r="43" spans="1:8">
      <c r="A43">
        <f t="shared" si="11"/>
        <v>4</v>
      </c>
      <c r="B43" s="337">
        <f t="shared" si="12"/>
        <v>2.1625596525851082E-2</v>
      </c>
      <c r="C43" s="338">
        <f t="shared" si="15"/>
        <v>1.0893490576275549</v>
      </c>
      <c r="D43" s="332">
        <f t="shared" si="13"/>
        <v>2892.7354102762501</v>
      </c>
      <c r="F43" s="332">
        <f t="shared" si="14"/>
        <v>2655.4715313897741</v>
      </c>
    </row>
    <row r="44" spans="1:8">
      <c r="A44">
        <f t="shared" si="11"/>
        <v>5</v>
      </c>
      <c r="B44" s="337">
        <f t="shared" si="12"/>
        <v>2.1625596525851082E-2</v>
      </c>
      <c r="C44" s="338">
        <f t="shared" si="15"/>
        <v>1.1129068808236244</v>
      </c>
      <c r="D44" s="332">
        <f t="shared" si="13"/>
        <v>3037.1702730468755</v>
      </c>
      <c r="F44" s="332">
        <f t="shared" si="14"/>
        <v>2729.0425869226087</v>
      </c>
    </row>
    <row r="45" spans="1:8">
      <c r="A45">
        <f t="shared" si="11"/>
        <v>6</v>
      </c>
      <c r="B45" s="337">
        <f t="shared" si="12"/>
        <v>2.9640477220680864E-2</v>
      </c>
      <c r="C45" s="338">
        <f t="shared" si="15"/>
        <v>1.145893971873416</v>
      </c>
      <c r="D45" s="332">
        <f t="shared" si="13"/>
        <v>3165.7924395558175</v>
      </c>
      <c r="F45" s="332">
        <f t="shared" si="14"/>
        <v>2762.727195763217</v>
      </c>
    </row>
    <row r="46" spans="1:8">
      <c r="A46">
        <f t="shared" si="11"/>
        <v>7</v>
      </c>
      <c r="B46" s="337">
        <f t="shared" si="12"/>
        <v>3.7655357915510647E-2</v>
      </c>
      <c r="C46" s="338">
        <f t="shared" si="15"/>
        <v>1.1890430195175354</v>
      </c>
      <c r="D46" s="332">
        <f t="shared" si="13"/>
        <v>3279.2271606023887</v>
      </c>
      <c r="F46" s="332">
        <f t="shared" si="14"/>
        <v>2757.8709153290042</v>
      </c>
    </row>
    <row r="47" spans="1:8">
      <c r="A47">
        <f t="shared" si="11"/>
        <v>8</v>
      </c>
      <c r="B47" s="337">
        <f t="shared" si="12"/>
        <v>4.5670238610340433E-2</v>
      </c>
      <c r="C47" s="338">
        <f t="shared" si="15"/>
        <v>1.2433468979368609</v>
      </c>
      <c r="D47" s="332">
        <f t="shared" si="13"/>
        <v>3375.3566047487516</v>
      </c>
      <c r="F47" s="332">
        <f t="shared" si="14"/>
        <v>2714.7344078709057</v>
      </c>
    </row>
    <row r="48" spans="1:8">
      <c r="A48">
        <f t="shared" si="11"/>
        <v>9</v>
      </c>
      <c r="B48" s="337">
        <f t="shared" si="12"/>
        <v>5.3685119305170212E-2</v>
      </c>
      <c r="C48" s="338">
        <f t="shared" si="15"/>
        <v>1.3100961244903147</v>
      </c>
      <c r="D48" s="332">
        <f t="shared" si="13"/>
        <v>3452.3118764925553</v>
      </c>
      <c r="F48" s="332">
        <f t="shared" si="14"/>
        <v>2635.1592161496219</v>
      </c>
    </row>
    <row r="49" spans="1:6">
      <c r="A49">
        <f t="shared" si="11"/>
        <v>10</v>
      </c>
      <c r="B49" s="337">
        <f t="shared" si="12"/>
        <v>6.1699999999999991E-2</v>
      </c>
      <c r="C49" s="338">
        <f t="shared" si="15"/>
        <v>1.3909290553713671</v>
      </c>
      <c r="D49" s="332">
        <f t="shared" si="13"/>
        <v>3508.5321231683683</v>
      </c>
      <c r="E49" s="332">
        <f>'Valuation output'!B18</f>
        <v>59420.496452609914</v>
      </c>
      <c r="F49" s="332">
        <f>(D49+E49)/C49</f>
        <v>45242.44305111358</v>
      </c>
    </row>
    <row r="50" spans="1:6">
      <c r="A50" t="s">
        <v>44</v>
      </c>
      <c r="F50" s="332">
        <f>SUM(F40:F49)</f>
        <v>69042.004849808392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D27" sqref="D27"/>
    </sheetView>
  </sheetViews>
  <sheetFormatPr baseColWidth="10" defaultRowHeight="12"/>
  <sheetData>
    <row r="1" spans="1:7" s="7" customFormat="1" ht="19">
      <c r="A1" s="6" t="s">
        <v>62</v>
      </c>
      <c r="B1" s="6"/>
    </row>
    <row r="2" spans="1:7" ht="14">
      <c r="A2" s="8" t="s">
        <v>63</v>
      </c>
      <c r="B2" s="8"/>
      <c r="D2" s="28">
        <f>'Input sheet'!B20</f>
        <v>276.91000000000003</v>
      </c>
    </row>
    <row r="3" spans="1:7" ht="14">
      <c r="A3" s="8" t="s">
        <v>64</v>
      </c>
      <c r="B3" s="8"/>
      <c r="D3" s="9">
        <f>'Input sheet'!B34</f>
        <v>0</v>
      </c>
    </row>
    <row r="4" spans="1:7" ht="14">
      <c r="A4" s="8" t="s">
        <v>65</v>
      </c>
      <c r="B4" s="8"/>
      <c r="D4" s="12">
        <f>'Input sheet'!B35</f>
        <v>0</v>
      </c>
    </row>
    <row r="5" spans="1:7" ht="14">
      <c r="A5" s="8" t="s">
        <v>66</v>
      </c>
      <c r="B5" s="8"/>
      <c r="D5" s="10">
        <f>'Input sheet'!B36</f>
        <v>0</v>
      </c>
      <c r="E5" s="8" t="s">
        <v>67</v>
      </c>
    </row>
    <row r="6" spans="1:7" ht="14">
      <c r="A6" s="8" t="s">
        <v>68</v>
      </c>
      <c r="B6" s="8"/>
      <c r="D6" s="11">
        <v>0</v>
      </c>
    </row>
    <row r="7" spans="1:7" ht="14">
      <c r="A7" s="8" t="s">
        <v>69</v>
      </c>
      <c r="B7" s="8"/>
      <c r="D7" s="11">
        <f>'Input sheet'!B29</f>
        <v>1.67E-2</v>
      </c>
    </row>
    <row r="8" spans="1:7" ht="14">
      <c r="A8" s="8" t="s">
        <v>70</v>
      </c>
      <c r="B8" s="8"/>
      <c r="D8" s="12">
        <f>'Input sheet'!B33</f>
        <v>0</v>
      </c>
    </row>
    <row r="9" spans="1:7" ht="14">
      <c r="A9" s="8" t="s">
        <v>71</v>
      </c>
      <c r="B9" s="8"/>
      <c r="D9" s="13">
        <f>'Input sheet'!B19</f>
        <v>244.4</v>
      </c>
    </row>
    <row r="10" spans="1:7" ht="14">
      <c r="A10" s="8"/>
      <c r="B10" s="8"/>
    </row>
    <row r="11" spans="1:7" s="16" customFormat="1" ht="14">
      <c r="A11" s="14" t="s">
        <v>72</v>
      </c>
      <c r="B11" s="15"/>
    </row>
    <row r="12" spans="1:7" s="8" customFormat="1" ht="14">
      <c r="A12" s="17" t="s">
        <v>73</v>
      </c>
    </row>
    <row r="13" spans="1:7" s="8" customFormat="1" ht="14">
      <c r="A13" s="8" t="s">
        <v>74</v>
      </c>
      <c r="C13" s="18">
        <f>D2</f>
        <v>276.91000000000003</v>
      </c>
      <c r="D13" s="8" t="s">
        <v>75</v>
      </c>
      <c r="F13" s="19">
        <f>D8</f>
        <v>0</v>
      </c>
      <c r="G13" s="20"/>
    </row>
    <row r="14" spans="1:7" s="8" customFormat="1" ht="14">
      <c r="A14" s="8" t="s">
        <v>76</v>
      </c>
      <c r="C14" s="18">
        <f>D3</f>
        <v>0</v>
      </c>
      <c r="D14" s="8" t="s">
        <v>77</v>
      </c>
      <c r="F14" s="21">
        <f>D9</f>
        <v>244.4</v>
      </c>
      <c r="G14" s="20"/>
    </row>
    <row r="15" spans="1:7" s="8" customFormat="1" ht="14">
      <c r="A15" s="8" t="s">
        <v>78</v>
      </c>
      <c r="C15" s="18" t="e">
        <f ca="1">(C13*F14+C26*F13)/(F14+F13)</f>
        <v>#NUM!</v>
      </c>
      <c r="D15" s="8" t="s">
        <v>79</v>
      </c>
      <c r="F15" s="22">
        <f>D7</f>
        <v>1.67E-2</v>
      </c>
    </row>
    <row r="16" spans="1:7" s="8" customFormat="1" ht="14">
      <c r="A16" s="8" t="s">
        <v>80</v>
      </c>
      <c r="C16" s="18">
        <f>C14</f>
        <v>0</v>
      </c>
      <c r="D16" s="8" t="s">
        <v>81</v>
      </c>
      <c r="F16" s="23">
        <f>D5^2</f>
        <v>0</v>
      </c>
    </row>
    <row r="17" spans="1:7" s="8" customFormat="1" ht="14">
      <c r="A17" s="8" t="s">
        <v>82</v>
      </c>
      <c r="C17" s="18">
        <f>D4</f>
        <v>0</v>
      </c>
      <c r="D17" s="8" t="s">
        <v>83</v>
      </c>
      <c r="F17" s="22">
        <f>D6</f>
        <v>0</v>
      </c>
    </row>
    <row r="18" spans="1:7" s="8" customFormat="1" ht="14">
      <c r="C18" s="17"/>
      <c r="D18" s="8" t="s">
        <v>84</v>
      </c>
      <c r="F18" s="24">
        <f>F15-F17</f>
        <v>1.67E-2</v>
      </c>
    </row>
    <row r="19" spans="1:7" s="8" customFormat="1" ht="14"/>
    <row r="20" spans="1:7" s="8" customFormat="1" ht="14">
      <c r="A20" s="8" t="s">
        <v>85</v>
      </c>
      <c r="B20" s="19" t="e">
        <f ca="1">(LN(C15/C16)+(F18+(F16/2))*C17)/(((F16)^(0.5))*(C17^0.5))</f>
        <v>#NUM!</v>
      </c>
    </row>
    <row r="21" spans="1:7" s="8" customFormat="1" ht="14">
      <c r="A21" s="8" t="s">
        <v>86</v>
      </c>
      <c r="B21" s="19" t="e">
        <f ca="1">NORMSDIST(B20)</f>
        <v>#NUM!</v>
      </c>
    </row>
    <row r="22" spans="1:7" s="8" customFormat="1" ht="14"/>
    <row r="23" spans="1:7" s="8" customFormat="1" ht="15.75" customHeight="1">
      <c r="A23" s="8" t="s">
        <v>87</v>
      </c>
      <c r="B23" s="19" t="e">
        <f ca="1">B20-((F16^0.5)*(C17^(0.5)))</f>
        <v>#NUM!</v>
      </c>
    </row>
    <row r="24" spans="1:7" s="8" customFormat="1" ht="14">
      <c r="A24" s="8" t="s">
        <v>88</v>
      </c>
      <c r="B24" s="19" t="e">
        <f ca="1">NORMSDIST(B23)</f>
        <v>#NUM!</v>
      </c>
    </row>
    <row r="25" spans="1:7" ht="15" thickBot="1">
      <c r="A25" s="8"/>
      <c r="B25" s="8"/>
    </row>
    <row r="26" spans="1:7" s="8" customFormat="1" ht="15" thickBot="1">
      <c r="A26" s="8" t="s">
        <v>89</v>
      </c>
      <c r="C26" s="25" t="e">
        <f ca="1">((EXP((0-F17)*C17))*C15*B21-C16*(EXP((0-F15)*C17))*B24)</f>
        <v>#NUM!</v>
      </c>
      <c r="G26" s="26"/>
    </row>
    <row r="27" spans="1:7" s="8" customFormat="1" ht="15" thickBot="1">
      <c r="A27" s="8" t="s">
        <v>90</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4" sqref="D24"/>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230">
        <v>3885</v>
      </c>
      <c r="I5" s="123">
        <f>IF(H5=0,0,VLOOKUP(G5,'Country equity risk premiums'!$A$5:$D$190,4))</f>
        <v>5.1999999999999998E-2</v>
      </c>
      <c r="J5" s="123">
        <f t="shared" ref="J5:J12" si="0">IF(H5&gt;0,H5/$H$18,)</f>
        <v>0.59769230769230774</v>
      </c>
      <c r="K5" s="123">
        <f t="shared" ref="K5:K12" si="1">IF(J5=0,0,I5*J5)</f>
        <v>3.108E-2</v>
      </c>
      <c r="M5" s="428" t="s">
        <v>663</v>
      </c>
      <c r="N5" s="428"/>
      <c r="O5" s="428"/>
      <c r="P5" s="428"/>
      <c r="Q5" s="428"/>
    </row>
    <row r="6" spans="1:17" s="8" customFormat="1" ht="15" customHeight="1">
      <c r="A6" s="114" t="s">
        <v>185</v>
      </c>
      <c r="B6" s="120">
        <f>'Input sheet'!B19</f>
        <v>244.4</v>
      </c>
      <c r="G6" s="230"/>
      <c r="H6" s="230"/>
      <c r="I6" s="123">
        <f>IF(H6=0,0,VLOOKUP(G6,'Country equity risk premiums'!$A$5:$D$190,4))</f>
        <v>0</v>
      </c>
      <c r="J6" s="123">
        <f t="shared" si="0"/>
        <v>0</v>
      </c>
      <c r="K6" s="123">
        <f t="shared" si="1"/>
        <v>0</v>
      </c>
      <c r="M6" s="428"/>
      <c r="N6" s="428"/>
      <c r="O6" s="428"/>
      <c r="P6" s="428"/>
      <c r="Q6" s="428"/>
    </row>
    <row r="7" spans="1:17" s="8" customFormat="1" ht="15" customHeight="1">
      <c r="A7" s="114" t="s">
        <v>186</v>
      </c>
      <c r="B7" s="121">
        <f>'Input sheet'!B20</f>
        <v>276.91000000000003</v>
      </c>
      <c r="G7" s="230"/>
      <c r="H7" s="230"/>
      <c r="I7" s="123">
        <f>IF(H7=0,0,VLOOKUP(G7,'Country equity risk premiums'!$A$5:$D$190,4))</f>
        <v>0</v>
      </c>
      <c r="J7" s="123">
        <f t="shared" si="0"/>
        <v>0</v>
      </c>
      <c r="K7" s="123">
        <f t="shared" si="1"/>
        <v>0</v>
      </c>
      <c r="M7" s="428"/>
      <c r="N7" s="428"/>
      <c r="O7" s="428"/>
      <c r="P7" s="428"/>
      <c r="Q7" s="428"/>
    </row>
    <row r="8" spans="1:17" s="8" customFormat="1" ht="15" customHeight="1">
      <c r="B8" s="116"/>
      <c r="G8" s="230"/>
      <c r="H8" s="230"/>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7.5615335031345252E-2</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446</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6.0810538461538458E-2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2615</v>
      </c>
      <c r="I16" s="349">
        <v>7.3899999999999993E-2</v>
      </c>
      <c r="J16" s="123">
        <f>IF(H16&gt;0,H16/$H$18,)</f>
        <v>0.40230769230769231</v>
      </c>
      <c r="K16" s="123">
        <f>IF(J16=0,0,I16*J16)</f>
        <v>2.9730538461538458E-2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3581</v>
      </c>
      <c r="G18" s="163" t="s">
        <v>384</v>
      </c>
      <c r="H18" s="163">
        <f>SUM(H5:H17)</f>
        <v>6500</v>
      </c>
      <c r="I18" s="163"/>
      <c r="J18" s="123">
        <f>SUM(J5:J17)</f>
        <v>1</v>
      </c>
      <c r="K18" s="123">
        <f>SUM(K5:K17)</f>
        <v>6.0810538461538458E-2</v>
      </c>
      <c r="M18" s="428"/>
      <c r="N18" s="428"/>
      <c r="O18" s="428"/>
      <c r="P18" s="428"/>
      <c r="Q18" s="428"/>
    </row>
    <row r="19" spans="1:17" s="8" customFormat="1" ht="15" customHeight="1">
      <c r="A19" s="8" t="s">
        <v>190</v>
      </c>
      <c r="B19" s="121">
        <f>'Input sheet'!B10</f>
        <v>141</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3.2325E-2</v>
      </c>
      <c r="G25" s="19" t="str">
        <f>'Country equity risk premiums'!A198</f>
        <v>US</v>
      </c>
      <c r="H25" s="230">
        <v>0</v>
      </c>
      <c r="I25" s="24">
        <f>'Country equity risk premiums'!B198</f>
        <v>5.1999999999999998E-2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6.3499442653654425E-2</v>
      </c>
      <c r="J26" s="123">
        <f t="shared" si="2"/>
        <v>0.2030344147033428</v>
      </c>
      <c r="K26" s="165">
        <f t="shared" si="3"/>
        <v>1.2892572173173206E-2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6.6746172674804469E-2</v>
      </c>
      <c r="J28" s="123">
        <f t="shared" si="2"/>
        <v>0.10941161958801036</v>
      </c>
      <c r="K28" s="165">
        <f t="shared" si="3"/>
        <v>7.302806853651359E-3</v>
      </c>
    </row>
    <row r="29" spans="1:17" s="8" customFormat="1" ht="15" customHeight="1">
      <c r="A29" s="8" t="s">
        <v>194</v>
      </c>
      <c r="B29" s="115">
        <v>0</v>
      </c>
      <c r="G29" s="19" t="str">
        <f>'Country equity risk premiums'!A202</f>
        <v>North America</v>
      </c>
      <c r="H29" s="230">
        <v>5574</v>
      </c>
      <c r="I29" s="24">
        <f>'Country equity risk premiums'!B202</f>
        <v>5.1999999999999998E-2</v>
      </c>
      <c r="J29" s="123">
        <f t="shared" si="2"/>
        <v>0.6875539657086468</v>
      </c>
      <c r="K29" s="165">
        <f t="shared" si="3"/>
        <v>3.5752806216849634E-2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5.5948185243674203E-2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3652.0879599949958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7.8675695136326301E-2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67676.804000000004</v>
      </c>
      <c r="C48" s="122">
        <f>C41+C42+C43</f>
        <v>3652.0879599949958</v>
      </c>
      <c r="D48" s="122">
        <f>B36*B37</f>
        <v>0</v>
      </c>
      <c r="E48" s="121">
        <f>SUM(B48:D48)</f>
        <v>71328.891959995002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0.94879931736436784</v>
      </c>
      <c r="C49" s="123">
        <f>C48/$E$48</f>
        <v>5.1200682635632121E-2</v>
      </c>
      <c r="D49" s="123">
        <f>D48/$E$48</f>
        <v>0</v>
      </c>
      <c r="E49" s="124">
        <f>SUM(B49:D49)</f>
        <v>1</v>
      </c>
      <c r="F49" s="8"/>
    </row>
    <row r="50" spans="1:11" ht="20" thickBot="1">
      <c r="A50" s="19" t="s">
        <v>210</v>
      </c>
      <c r="B50" s="125">
        <f>B12+C45*B15</f>
        <v>2.1484311385075845E-2</v>
      </c>
      <c r="C50" s="123">
        <f>B25*(1-B26)</f>
        <v>2.4243750000000001E-2</v>
      </c>
      <c r="D50" s="126">
        <f>B38/B37</f>
        <v>7.1428571428571425E-2</v>
      </c>
      <c r="E50" s="127">
        <f>B49*B50+C49*C50+D49*D50</f>
        <v>2.1625596525851082E-2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C16" sqref="C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0</v>
      </c>
      <c r="G6" s="8" t="s">
        <v>410</v>
      </c>
    </row>
    <row r="7" spans="1:10" s="8" customFormat="1" ht="14">
      <c r="A7" s="8" t="s">
        <v>411</v>
      </c>
      <c r="F7" s="33">
        <v>0</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0</v>
      </c>
      <c r="C11" s="185" t="s">
        <v>416</v>
      </c>
      <c r="D11" s="185"/>
      <c r="E11" s="185"/>
      <c r="F11" s="185"/>
      <c r="G11" s="185"/>
      <c r="H11" s="185"/>
      <c r="I11" s="185"/>
    </row>
    <row r="12" spans="1:10" s="186" customFormat="1" ht="14">
      <c r="A12" s="187">
        <f>IF((0-A11)&lt;$F$6,IF(A11&gt;-1,,A11-1),)</f>
        <v>0</v>
      </c>
      <c r="B12" s="188">
        <v>0</v>
      </c>
      <c r="C12" s="185" t="s">
        <v>417</v>
      </c>
      <c r="D12" s="185"/>
      <c r="E12" s="185"/>
      <c r="F12" s="185"/>
      <c r="G12" s="185"/>
      <c r="H12" s="185"/>
      <c r="I12" s="185"/>
    </row>
    <row r="13" spans="1:10" s="186" customFormat="1" ht="14">
      <c r="A13" s="187">
        <f t="shared" ref="A13:A20" si="0">IF((0-A12)&lt;$F$6,IF(A12&gt;-1,,A12-1),)</f>
        <v>0</v>
      </c>
      <c r="B13" s="188">
        <v>0</v>
      </c>
      <c r="C13" s="185"/>
      <c r="D13" s="185"/>
      <c r="E13" s="185"/>
      <c r="F13" s="185"/>
      <c r="G13" s="185"/>
      <c r="H13" s="185"/>
      <c r="I13" s="185"/>
    </row>
    <row r="14" spans="1:10" s="186" customFormat="1" ht="14">
      <c r="A14" s="187">
        <f t="shared" si="0"/>
        <v>0</v>
      </c>
      <c r="B14" s="188">
        <v>0</v>
      </c>
      <c r="C14" s="185"/>
      <c r="D14" s="185"/>
      <c r="E14" s="185"/>
      <c r="F14" s="185"/>
      <c r="G14" s="185"/>
      <c r="H14" s="185"/>
      <c r="I14" s="185"/>
    </row>
    <row r="15" spans="1:10" s="186" customFormat="1" ht="14">
      <c r="A15" s="187">
        <f t="shared" si="0"/>
        <v>0</v>
      </c>
      <c r="B15" s="188">
        <v>0</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0</v>
      </c>
      <c r="C24" s="184">
        <f>1</f>
        <v>1</v>
      </c>
      <c r="D24" s="184">
        <f>B24*C24</f>
        <v>0</v>
      </c>
      <c r="E24" s="185"/>
      <c r="F24" s="185"/>
      <c r="G24" s="185"/>
      <c r="H24" s="185"/>
      <c r="I24" s="185"/>
    </row>
    <row r="25" spans="1:9" s="186" customFormat="1" ht="14">
      <c r="A25" s="187">
        <f>A11</f>
        <v>-1</v>
      </c>
      <c r="B25" s="184">
        <f>B11</f>
        <v>0</v>
      </c>
      <c r="C25" s="184" t="e">
        <f>IF(A25&lt;0,($F$6+A25)/$F$6,0)</f>
        <v>#DIV/0!</v>
      </c>
      <c r="D25" s="184" t="e">
        <f>B25*C25</f>
        <v>#DIV/0!</v>
      </c>
      <c r="E25" s="192" t="e">
        <f t="shared" ref="E25:E34" si="1">IF(A25&lt;0,B25/$F$6,0)</f>
        <v>#DIV/0!</v>
      </c>
      <c r="F25" s="185"/>
      <c r="G25" s="185"/>
      <c r="H25" s="185"/>
      <c r="I25" s="185"/>
    </row>
    <row r="26" spans="1:9" s="186" customFormat="1" ht="14">
      <c r="A26" s="187">
        <f t="shared" ref="A26:B34" si="2">A12</f>
        <v>0</v>
      </c>
      <c r="B26" s="184">
        <f t="shared" si="2"/>
        <v>0</v>
      </c>
      <c r="C26" s="184">
        <f>IF(A26&lt;0,($F$6+A26)/$F$6,0)</f>
        <v>0</v>
      </c>
      <c r="D26" s="184">
        <f t="shared" ref="D26:D34" si="3">B26*C26</f>
        <v>0</v>
      </c>
      <c r="E26" s="192">
        <f t="shared" si="1"/>
        <v>0</v>
      </c>
      <c r="F26" s="185"/>
      <c r="G26" s="185"/>
      <c r="H26" s="185"/>
      <c r="I26" s="185"/>
    </row>
    <row r="27" spans="1:9" s="186" customFormat="1" ht="14">
      <c r="A27" s="187">
        <f t="shared" si="2"/>
        <v>0</v>
      </c>
      <c r="B27" s="184">
        <f t="shared" si="2"/>
        <v>0</v>
      </c>
      <c r="C27" s="184">
        <f>IF(A27&lt;0,($F$6+A27)/$F$6,0)</f>
        <v>0</v>
      </c>
      <c r="D27" s="184">
        <f t="shared" si="3"/>
        <v>0</v>
      </c>
      <c r="E27" s="192">
        <f t="shared" si="1"/>
        <v>0</v>
      </c>
      <c r="F27" s="185"/>
      <c r="G27" s="185"/>
      <c r="H27" s="185"/>
      <c r="I27" s="185"/>
    </row>
    <row r="28" spans="1:9" s="186" customFormat="1" ht="14">
      <c r="A28" s="187">
        <f t="shared" si="2"/>
        <v>0</v>
      </c>
      <c r="B28" s="184">
        <f t="shared" si="2"/>
        <v>0</v>
      </c>
      <c r="C28" s="184">
        <f t="shared" ref="C28:C34" si="4">IF(A28&lt;0,($F$6+A28)/$F$6,0)</f>
        <v>0</v>
      </c>
      <c r="D28" s="184">
        <f t="shared" si="3"/>
        <v>0</v>
      </c>
      <c r="E28" s="192">
        <f t="shared" si="1"/>
        <v>0</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t="e">
        <f>SUM(D24:D34)</f>
        <v>#DIV/0!</v>
      </c>
      <c r="E35" s="25" t="e">
        <f>SUM(E25:E34)</f>
        <v>#DIV/0!</v>
      </c>
    </row>
    <row r="36" spans="1:9" ht="13" thickBot="1"/>
    <row r="37" spans="1:9" s="8" customFormat="1" ht="15" thickBot="1">
      <c r="A37" s="8" t="s">
        <v>423</v>
      </c>
      <c r="D37" s="195" t="e">
        <f>E35</f>
        <v>#DIV/0!</v>
      </c>
    </row>
    <row r="38" spans="1:9" s="8" customFormat="1" ht="15" thickBot="1"/>
    <row r="39" spans="1:9" s="8" customFormat="1" ht="14">
      <c r="A39" s="8" t="s">
        <v>424</v>
      </c>
      <c r="D39" s="196" t="e">
        <f>F7-D37</f>
        <v>#DIV/0!</v>
      </c>
      <c r="E39" s="8" t="s">
        <v>425</v>
      </c>
    </row>
    <row r="40" spans="1:9" ht="14">
      <c r="A40" t="s">
        <v>426</v>
      </c>
      <c r="D40" s="197" t="e">
        <f>D39*'Input sheet'!B22</f>
        <v>#DIV/0!</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C29" sqref="C29"/>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0</v>
      </c>
    </row>
    <row r="5" spans="1:11" s="15" customFormat="1" ht="14">
      <c r="A5" s="15" t="s">
        <v>119</v>
      </c>
    </row>
    <row r="6" spans="1:11" s="8" customFormat="1" ht="14">
      <c r="A6" s="30" t="s">
        <v>120</v>
      </c>
      <c r="B6" s="30" t="s">
        <v>121</v>
      </c>
      <c r="C6" s="8" t="s">
        <v>122</v>
      </c>
    </row>
    <row r="7" spans="1:11" s="8" customFormat="1" ht="14">
      <c r="A7" s="30">
        <v>1</v>
      </c>
      <c r="B7" s="327">
        <v>0</v>
      </c>
    </row>
    <row r="8" spans="1:11" s="8" customFormat="1" ht="14">
      <c r="A8" s="30">
        <v>2</v>
      </c>
      <c r="B8" s="327">
        <v>0</v>
      </c>
    </row>
    <row r="9" spans="1:11" s="8" customFormat="1" ht="14">
      <c r="A9" s="30">
        <v>3</v>
      </c>
      <c r="B9" s="327">
        <v>0</v>
      </c>
    </row>
    <row r="10" spans="1:11" s="8" customFormat="1" ht="14">
      <c r="A10" s="30">
        <v>4</v>
      </c>
      <c r="B10" s="327">
        <v>0</v>
      </c>
    </row>
    <row r="11" spans="1:11" s="8" customFormat="1" ht="14">
      <c r="A11" s="30">
        <v>5</v>
      </c>
      <c r="B11" s="327">
        <v>0</v>
      </c>
    </row>
    <row r="12" spans="1:11" s="8" customFormat="1" ht="14">
      <c r="A12" s="30" t="s">
        <v>123</v>
      </c>
      <c r="B12" s="326">
        <v>0</v>
      </c>
    </row>
    <row r="13" spans="1:11" s="8" customFormat="1" ht="14"/>
    <row r="14" spans="1:11" s="31" customFormat="1" ht="17" thickBot="1">
      <c r="A14" s="31" t="s">
        <v>124</v>
      </c>
    </row>
    <row r="15" spans="1:11" s="8" customFormat="1" ht="15" thickBot="1">
      <c r="A15" s="8" t="s">
        <v>125</v>
      </c>
      <c r="C15" s="80">
        <f>'Cost of capital worksheet'!B25</f>
        <v>3.2325E-2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0</v>
      </c>
      <c r="C22" s="9">
        <f>B22/(1+$C$15)^A22</f>
        <v>0</v>
      </c>
    </row>
    <row r="23" spans="1:7" s="8" customFormat="1" ht="14">
      <c r="A23" s="19">
        <f t="shared" ref="A23:B26" si="0">A8</f>
        <v>2</v>
      </c>
      <c r="B23" s="28">
        <f t="shared" si="0"/>
        <v>0</v>
      </c>
      <c r="C23" s="9">
        <f>B23/(1+$C$15)^A23</f>
        <v>0</v>
      </c>
    </row>
    <row r="24" spans="1:7" s="8" customFormat="1" ht="14">
      <c r="A24" s="19">
        <f t="shared" si="0"/>
        <v>3</v>
      </c>
      <c r="B24" s="28">
        <f t="shared" si="0"/>
        <v>0</v>
      </c>
      <c r="C24" s="9">
        <f>B24/(1+$C$15)^A24</f>
        <v>0</v>
      </c>
    </row>
    <row r="25" spans="1:7" s="8" customFormat="1" ht="14">
      <c r="A25" s="19">
        <f t="shared" si="0"/>
        <v>4</v>
      </c>
      <c r="B25" s="28">
        <f t="shared" si="0"/>
        <v>0</v>
      </c>
      <c r="C25" s="9">
        <f>B25/(1+$C$15)^A25</f>
        <v>0</v>
      </c>
    </row>
    <row r="26" spans="1:7" s="8" customFormat="1" ht="14">
      <c r="A26" s="19">
        <f t="shared" si="0"/>
        <v>5</v>
      </c>
      <c r="B26" s="28">
        <f t="shared" si="0"/>
        <v>0</v>
      </c>
      <c r="C26" s="9">
        <f>B26/(1+$C$15)^A26</f>
        <v>0</v>
      </c>
    </row>
    <row r="27" spans="1:7" s="8" customFormat="1" ht="15" thickBot="1">
      <c r="A27" s="36" t="str">
        <f>A12</f>
        <v>6 and beyond</v>
      </c>
      <c r="B27" s="37">
        <f>IF(B12&gt;0,IF(D18&gt;0,B12/D18,B12),0)</f>
        <v>0</v>
      </c>
      <c r="C27" s="38">
        <f>IF(D18&gt;0,(B27*(1-(1+C15)^(-D18))/C15)/(1+$C$15)^5,B27/(1+C15)^6)</f>
        <v>0</v>
      </c>
      <c r="D27" s="8" t="s">
        <v>131</v>
      </c>
    </row>
    <row r="28" spans="1:7" s="8" customFormat="1" ht="15" thickBot="1">
      <c r="A28" s="32" t="s">
        <v>132</v>
      </c>
      <c r="B28" s="39"/>
      <c r="C28" s="40">
        <f>SUM(C22:C27)</f>
        <v>0</v>
      </c>
    </row>
    <row r="29" spans="1:7" s="8" customFormat="1" ht="14"/>
    <row r="30" spans="1:7" s="8" customFormat="1" ht="14">
      <c r="A30" s="15" t="s">
        <v>133</v>
      </c>
    </row>
    <row r="31" spans="1:7" s="8" customFormat="1" ht="15" thickBot="1">
      <c r="A31" s="8" t="s">
        <v>134</v>
      </c>
      <c r="F31" s="38">
        <f>C28/(5+D18)</f>
        <v>0</v>
      </c>
      <c r="G31" s="8" t="s">
        <v>135</v>
      </c>
    </row>
    <row r="32" spans="1:7" s="8" customFormat="1" ht="15" thickBot="1">
      <c r="A32" s="8" t="s">
        <v>136</v>
      </c>
      <c r="F32" s="81">
        <f>E4-F31</f>
        <v>0</v>
      </c>
      <c r="G32" s="8" t="s">
        <v>138</v>
      </c>
    </row>
    <row r="33" spans="1:7" s="8" customFormat="1" ht="15" thickBot="1">
      <c r="A33" s="8" t="s">
        <v>137</v>
      </c>
      <c r="F33" s="41">
        <f>C28</f>
        <v>0</v>
      </c>
      <c r="G33" s="8" t="s">
        <v>139</v>
      </c>
    </row>
    <row r="34" spans="1:7" ht="14">
      <c r="A34" s="8" t="s">
        <v>498</v>
      </c>
      <c r="F34" s="241">
        <f>C28/(5+D18)</f>
        <v>0</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2020-01-04T20:41:31Z</dcterms:modified>
</cp:coreProperties>
</file>