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D07A868B-19D7-364C-9A77-5A0D5B8F08C0}" xr6:coauthVersionLast="45" xr6:coauthVersionMax="45" xr10:uidLastSave="{00000000-0000-0000-0000-000000000000}"/>
  <bookViews>
    <workbookView xWindow="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2" i="19" l="1"/>
  <c r="D2" i="14"/>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B199" i="23"/>
  <c r="I26" i="19" s="1"/>
  <c r="B198" i="23"/>
  <c r="I25" i="19" s="1"/>
  <c r="B200" i="23"/>
  <c r="I27" i="19" s="1"/>
  <c r="B201" i="23"/>
  <c r="I28" i="19" s="1"/>
  <c r="B194" i="23"/>
  <c r="I21" i="19" s="1"/>
  <c r="I29" i="19"/>
  <c r="G29" i="19"/>
  <c r="I22"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F7" i="25" s="1"/>
  <c r="A25" i="25"/>
  <c r="B25" i="25"/>
  <c r="A12" i="25"/>
  <c r="A26" i="25" s="1"/>
  <c r="B26" i="25"/>
  <c r="A13" i="25"/>
  <c r="A14" i="25" s="1"/>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K23" i="19" l="1"/>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C27" i="25"/>
  <c r="D27" i="25" s="1"/>
  <c r="J24" i="19"/>
  <c r="K24" i="19" s="1"/>
  <c r="J44" i="19"/>
  <c r="J43" i="19"/>
  <c r="J47" i="19"/>
  <c r="K42" i="19"/>
  <c r="J39" i="19"/>
  <c r="K37" i="19"/>
  <c r="K46" i="19"/>
  <c r="K45" i="19"/>
  <c r="K41" i="19"/>
  <c r="J64" i="19"/>
  <c r="K64" i="19" s="1"/>
  <c r="J40" i="19"/>
  <c r="J18" i="19" l="1"/>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D35" i="25" s="1"/>
  <c r="E34" i="25"/>
  <c r="E35" i="25" s="1"/>
  <c r="D37" i="25" s="1"/>
  <c r="D39" i="25" s="1"/>
  <c r="D40" i="25" s="1"/>
  <c r="E33" i="25"/>
  <c r="C33" i="25"/>
  <c r="D33" i="25" s="1"/>
  <c r="C20" i="29"/>
  <c r="C7" i="29"/>
  <c r="C21" i="29" l="1"/>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9" l="1"/>
  <c r="C50" i="19" s="1"/>
  <c r="C15" i="18" l="1"/>
  <c r="C27" i="18" s="1"/>
  <c r="C42" i="19"/>
  <c r="C44" i="19" s="1"/>
  <c r="C41" i="19"/>
  <c r="C26" i="18" l="1"/>
  <c r="C24" i="18"/>
  <c r="C23" i="18"/>
  <c r="C22" i="18"/>
  <c r="C25" i="18"/>
  <c r="C28" i="18" l="1"/>
  <c r="F34" i="18" l="1"/>
  <c r="B25" i="13"/>
  <c r="D34" i="28" s="1"/>
  <c r="F33" i="18"/>
  <c r="B39" i="13" s="1"/>
  <c r="I25" i="11" s="1"/>
  <c r="B27" i="11" s="1"/>
  <c r="F6" i="20"/>
  <c r="F31" i="18"/>
  <c r="F32" i="18" s="1"/>
  <c r="B5" i="13" s="1"/>
  <c r="C38" i="13" l="1"/>
  <c r="D12" i="28"/>
  <c r="B33" i="19"/>
  <c r="C43" i="19" s="1"/>
  <c r="C48" i="19" s="1"/>
  <c r="E48" i="19" s="1"/>
  <c r="C49" i="19" s="1"/>
  <c r="F5" i="20"/>
  <c r="D9" i="20" s="1"/>
  <c r="D10" i="20" s="1"/>
  <c r="G15" i="29"/>
  <c r="B2" i="12"/>
  <c r="B7" i="13"/>
  <c r="B4" i="13"/>
  <c r="C8" i="13" l="1"/>
  <c r="D16" i="29"/>
  <c r="E16" i="29" s="1"/>
  <c r="G16" i="29" s="1"/>
  <c r="D38" i="13"/>
  <c r="C45" i="19"/>
  <c r="B50" i="19" s="1"/>
  <c r="D11" i="20"/>
  <c r="D13" i="20" s="1"/>
  <c r="B10" i="28"/>
  <c r="C10" i="28" s="1"/>
  <c r="I24" i="11"/>
  <c r="C4" i="13" s="1"/>
  <c r="D2" i="29"/>
  <c r="E2" i="29" s="1"/>
  <c r="I26" i="11"/>
  <c r="B40" i="13"/>
  <c r="B13" i="28" s="1"/>
  <c r="H2" i="29"/>
  <c r="B15" i="29" s="1"/>
  <c r="H15" i="29" s="1"/>
  <c r="B49" i="19"/>
  <c r="D49" i="19"/>
  <c r="F4" i="13" l="1"/>
  <c r="F5" i="13" s="1"/>
  <c r="D4" i="13"/>
  <c r="C18" i="28" s="1"/>
  <c r="D18" i="28" s="1"/>
  <c r="E4" i="13"/>
  <c r="D5" i="29" s="1"/>
  <c r="E5" i="29" s="1"/>
  <c r="E38" i="13"/>
  <c r="D17" i="29"/>
  <c r="E17" i="29" s="1"/>
  <c r="G17" i="29" s="1"/>
  <c r="D8" i="13"/>
  <c r="F18" i="28" s="1"/>
  <c r="H4" i="13"/>
  <c r="J4" i="13"/>
  <c r="L4" i="13"/>
  <c r="I4" i="13"/>
  <c r="K4" i="13"/>
  <c r="F17" i="28"/>
  <c r="C39" i="13"/>
  <c r="G4" i="13"/>
  <c r="C21" i="28" s="1"/>
  <c r="D21" i="28" s="1"/>
  <c r="G2" i="29"/>
  <c r="D3" i="29"/>
  <c r="E3" i="29" s="1"/>
  <c r="C5" i="13"/>
  <c r="C17" i="28"/>
  <c r="D17" i="28" s="1"/>
  <c r="E50" i="19"/>
  <c r="B30" i="11" s="1"/>
  <c r="C12" i="13" s="1"/>
  <c r="E49" i="19"/>
  <c r="C20" i="28" l="1"/>
  <c r="D20" i="28" s="1"/>
  <c r="E5" i="13"/>
  <c r="D6" i="29"/>
  <c r="E6" i="29" s="1"/>
  <c r="D4" i="29"/>
  <c r="E4" i="29" s="1"/>
  <c r="C19" i="28"/>
  <c r="D19" i="28" s="1"/>
  <c r="D5" i="13"/>
  <c r="D39" i="13"/>
  <c r="D8" i="29"/>
  <c r="E8" i="29" s="1"/>
  <c r="H5" i="13"/>
  <c r="C22" i="28"/>
  <c r="D22" i="28" s="1"/>
  <c r="G5" i="13"/>
  <c r="C24" i="28"/>
  <c r="D24" i="28" s="1"/>
  <c r="D10" i="29"/>
  <c r="E10" i="29" s="1"/>
  <c r="J5" i="13"/>
  <c r="I5" i="13"/>
  <c r="C23" i="28"/>
  <c r="D23" i="28" s="1"/>
  <c r="D9" i="29"/>
  <c r="E9" i="29" s="1"/>
  <c r="D7" i="29"/>
  <c r="E7" i="29" s="1"/>
  <c r="D18" i="29"/>
  <c r="E18" i="29" s="1"/>
  <c r="G18" i="29" s="1"/>
  <c r="E8" i="13"/>
  <c r="F19" i="28" s="1"/>
  <c r="F38" i="13"/>
  <c r="M4" i="13"/>
  <c r="L5" i="13"/>
  <c r="B5" i="12" s="1"/>
  <c r="D12" i="29"/>
  <c r="E12" i="29" s="1"/>
  <c r="C26" i="28"/>
  <c r="D26" i="28" s="1"/>
  <c r="K5" i="13"/>
  <c r="D11" i="29"/>
  <c r="E11" i="29" s="1"/>
  <c r="C25" i="28"/>
  <c r="D25" i="28" s="1"/>
  <c r="D12" i="13"/>
  <c r="H28" i="29"/>
  <c r="B40" i="29" s="1"/>
  <c r="C40" i="29" s="1"/>
  <c r="C13" i="13"/>
  <c r="C14" i="28"/>
  <c r="C7" i="13"/>
  <c r="C10" i="13"/>
  <c r="F3" i="29" s="1"/>
  <c r="E39" i="13" l="1"/>
  <c r="F10" i="28"/>
  <c r="D10" i="28" s="1"/>
  <c r="C27" i="28"/>
  <c r="D27" i="28" s="1"/>
  <c r="M5" i="13"/>
  <c r="D19" i="29"/>
  <c r="E19" i="29" s="1"/>
  <c r="G19" i="29" s="1"/>
  <c r="F8" i="13"/>
  <c r="F20" i="28" s="1"/>
  <c r="G38" i="13"/>
  <c r="D13" i="13"/>
  <c r="E12" i="13"/>
  <c r="H29" i="29"/>
  <c r="B41" i="29" s="1"/>
  <c r="C41" i="29" s="1"/>
  <c r="D10" i="13"/>
  <c r="E17" i="28"/>
  <c r="G17" i="28" s="1"/>
  <c r="H3" i="29"/>
  <c r="C9" i="13"/>
  <c r="C14" i="13" s="1"/>
  <c r="C40" i="13"/>
  <c r="D7" i="13"/>
  <c r="J32" i="11" l="1"/>
  <c r="M7" i="13"/>
  <c r="N5" i="13"/>
  <c r="F39" i="13"/>
  <c r="D20" i="29"/>
  <c r="E20" i="29" s="1"/>
  <c r="G20" i="29" s="1"/>
  <c r="H38" i="13"/>
  <c r="G8" i="13"/>
  <c r="F21" i="28" s="1"/>
  <c r="E13" i="13"/>
  <c r="F4" i="29"/>
  <c r="E10" i="13"/>
  <c r="E7" i="13"/>
  <c r="H4" i="29"/>
  <c r="E18" i="28"/>
  <c r="G18" i="28" s="1"/>
  <c r="D9" i="13"/>
  <c r="D14" i="13" s="1"/>
  <c r="D40" i="13"/>
  <c r="B16" i="29"/>
  <c r="G3" i="29"/>
  <c r="F12" i="13"/>
  <c r="H30" i="29"/>
  <c r="B42" i="29" s="1"/>
  <c r="C42" i="29" s="1"/>
  <c r="G39" i="13" l="1"/>
  <c r="E27" i="28"/>
  <c r="D21" i="29"/>
  <c r="E21" i="29" s="1"/>
  <c r="G21" i="29" s="1"/>
  <c r="H8" i="13"/>
  <c r="I38" i="13"/>
  <c r="H31" i="29"/>
  <c r="B43" i="29" s="1"/>
  <c r="C43" i="29" s="1"/>
  <c r="G12" i="13"/>
  <c r="B17" i="29"/>
  <c r="G4" i="29"/>
  <c r="F13" i="13"/>
  <c r="F5" i="29"/>
  <c r="F10" i="13"/>
  <c r="F7" i="13"/>
  <c r="E19" i="28"/>
  <c r="G19" i="28" s="1"/>
  <c r="E40" i="13"/>
  <c r="H5" i="29"/>
  <c r="E9" i="13"/>
  <c r="E14" i="13" s="1"/>
  <c r="F16" i="29"/>
  <c r="D40" i="29" s="1"/>
  <c r="F40" i="29" s="1"/>
  <c r="H16" i="29"/>
  <c r="I8" i="13" l="1"/>
  <c r="F23" i="28" s="1"/>
  <c r="D22" i="29"/>
  <c r="E22" i="29" s="1"/>
  <c r="G22" i="29" s="1"/>
  <c r="J38" i="13"/>
  <c r="F22" i="28"/>
  <c r="H39" i="13"/>
  <c r="G13" i="13"/>
  <c r="H12" i="13"/>
  <c r="H32" i="29"/>
  <c r="B44" i="29" s="1"/>
  <c r="C44" i="29" s="1"/>
  <c r="B18" i="29"/>
  <c r="G5" i="29"/>
  <c r="F17" i="29"/>
  <c r="D41" i="29" s="1"/>
  <c r="F41" i="29" s="1"/>
  <c r="H17" i="29"/>
  <c r="F40" i="13"/>
  <c r="H6" i="29"/>
  <c r="F9" i="13"/>
  <c r="F14" i="13" s="1"/>
  <c r="E20" i="28"/>
  <c r="G20" i="28" s="1"/>
  <c r="F6" i="29"/>
  <c r="G10" i="13"/>
  <c r="G7" i="13"/>
  <c r="I39" i="13" l="1"/>
  <c r="K38" i="13"/>
  <c r="D23" i="29"/>
  <c r="E23" i="29" s="1"/>
  <c r="G23" i="29" s="1"/>
  <c r="J8" i="13"/>
  <c r="F24" i="28" s="1"/>
  <c r="H33" i="29"/>
  <c r="B45" i="29" s="1"/>
  <c r="C45" i="29" s="1"/>
  <c r="I12" i="13"/>
  <c r="H10" i="13"/>
  <c r="H7" i="13"/>
  <c r="F7" i="29"/>
  <c r="F18" i="29"/>
  <c r="D42" i="29" s="1"/>
  <c r="F42" i="29" s="1"/>
  <c r="H18" i="29"/>
  <c r="H13" i="13"/>
  <c r="B19" i="29"/>
  <c r="G6" i="29"/>
  <c r="H7" i="29"/>
  <c r="G9" i="13"/>
  <c r="G14" i="13" s="1"/>
  <c r="E21" i="28"/>
  <c r="G21" i="28" s="1"/>
  <c r="G40" i="13"/>
  <c r="J39" i="13" l="1"/>
  <c r="L38" i="13"/>
  <c r="D24" i="29"/>
  <c r="E24" i="29" s="1"/>
  <c r="G24" i="29" s="1"/>
  <c r="K8" i="13"/>
  <c r="F25" i="28" s="1"/>
  <c r="B20" i="29"/>
  <c r="G7" i="29"/>
  <c r="H9" i="13"/>
  <c r="H14" i="13" s="1"/>
  <c r="H40" i="13"/>
  <c r="E22" i="28"/>
  <c r="G22" i="28" s="1"/>
  <c r="H8" i="29"/>
  <c r="J12" i="13"/>
  <c r="H34" i="29"/>
  <c r="B46" i="29" s="1"/>
  <c r="C46" i="29" s="1"/>
  <c r="I7" i="13"/>
  <c r="F8" i="29"/>
  <c r="I10" i="13"/>
  <c r="F19" i="29"/>
  <c r="D43" i="29" s="1"/>
  <c r="F43" i="29" s="1"/>
  <c r="H19" i="29"/>
  <c r="I13" i="13"/>
  <c r="D25" i="29" l="1"/>
  <c r="E25" i="29" s="1"/>
  <c r="G25" i="29" s="1"/>
  <c r="L8" i="13"/>
  <c r="K39" i="13"/>
  <c r="J13" i="13"/>
  <c r="G8" i="29"/>
  <c r="B21" i="29"/>
  <c r="J7" i="13"/>
  <c r="F9" i="29"/>
  <c r="J10" i="13"/>
  <c r="I9" i="13"/>
  <c r="I14" i="13" s="1"/>
  <c r="I40" i="13"/>
  <c r="E23" i="28"/>
  <c r="G23" i="28" s="1"/>
  <c r="H9" i="29"/>
  <c r="F20" i="29"/>
  <c r="D44" i="29" s="1"/>
  <c r="F44" i="29" s="1"/>
  <c r="H20" i="29"/>
  <c r="K12" i="13"/>
  <c r="H35" i="29"/>
  <c r="B47" i="29" s="1"/>
  <c r="C47" i="29" s="1"/>
  <c r="L39" i="13" l="1"/>
  <c r="B3" i="12" s="1"/>
  <c r="B4" i="12" s="1"/>
  <c r="B6" i="12" s="1"/>
  <c r="D13" i="28" s="1"/>
  <c r="F26" i="28"/>
  <c r="L12" i="13"/>
  <c r="H36" i="29"/>
  <c r="B48" i="29" s="1"/>
  <c r="C48" i="29" s="1"/>
  <c r="K13" i="13"/>
  <c r="K7" i="13"/>
  <c r="F10" i="29"/>
  <c r="K10" i="13"/>
  <c r="H10" i="29"/>
  <c r="J9" i="13"/>
  <c r="J14" i="13" s="1"/>
  <c r="J40" i="13"/>
  <c r="E24" i="28"/>
  <c r="G24" i="28" s="1"/>
  <c r="F21" i="29"/>
  <c r="D45" i="29" s="1"/>
  <c r="F45" i="29" s="1"/>
  <c r="H21" i="29"/>
  <c r="B22" i="29"/>
  <c r="G9" i="29"/>
  <c r="H37" i="29" l="1"/>
  <c r="B49" i="29" s="1"/>
  <c r="C49" i="29" s="1"/>
  <c r="M40" i="13"/>
  <c r="L13" i="13"/>
  <c r="B8" i="12" s="1"/>
  <c r="F22" i="29"/>
  <c r="D46" i="29" s="1"/>
  <c r="F46" i="29" s="1"/>
  <c r="H22" i="29"/>
  <c r="G10" i="29"/>
  <c r="B23" i="29"/>
  <c r="E25" i="28"/>
  <c r="G25" i="28" s="1"/>
  <c r="H11" i="29"/>
  <c r="K9" i="13"/>
  <c r="K14" i="13" s="1"/>
  <c r="K40" i="13"/>
  <c r="F11" i="29"/>
  <c r="L7" i="13"/>
  <c r="L10" i="13"/>
  <c r="F13" i="28" l="1"/>
  <c r="F12" i="28"/>
  <c r="M8" i="13"/>
  <c r="G11" i="29"/>
  <c r="B24" i="29"/>
  <c r="F23" i="29"/>
  <c r="D47" i="29" s="1"/>
  <c r="F47" i="29" s="1"/>
  <c r="H23" i="29"/>
  <c r="E26" i="28"/>
  <c r="G26" i="28" s="1"/>
  <c r="L40" i="13"/>
  <c r="L9" i="13"/>
  <c r="L14" i="13" s="1"/>
  <c r="B20" i="13" s="1"/>
  <c r="D31" i="28" s="1"/>
  <c r="H12" i="29"/>
  <c r="M10" i="13"/>
  <c r="F12" i="29"/>
  <c r="F27" i="28" l="1"/>
  <c r="G27" i="28" s="1"/>
  <c r="M9" i="13"/>
  <c r="B16" i="13" s="1"/>
  <c r="B18" i="13" s="1"/>
  <c r="N8" i="13"/>
  <c r="G12" i="29"/>
  <c r="B25" i="29"/>
  <c r="F24" i="29"/>
  <c r="D48" i="29" s="1"/>
  <c r="F48" i="29" s="1"/>
  <c r="H24" i="29"/>
  <c r="J33" i="11"/>
  <c r="B7" i="12"/>
  <c r="E49" i="29" l="1"/>
  <c r="D29" i="28"/>
  <c r="B19" i="13"/>
  <c r="F25" i="29"/>
  <c r="D49" i="29" s="1"/>
  <c r="H25" i="29"/>
  <c r="F49" i="29" l="1"/>
  <c r="F50" i="29" s="1"/>
  <c r="D30" i="28"/>
  <c r="B21" i="13"/>
  <c r="B23" i="13" l="1"/>
  <c r="B24" i="13" s="1"/>
  <c r="B29" i="13" s="1"/>
  <c r="D32" i="28"/>
  <c r="D33" i="28" l="1"/>
  <c r="D36" i="28" s="1"/>
  <c r="B9" i="12" l="1"/>
  <c r="B10" i="12"/>
  <c r="C15" i="14"/>
  <c r="B20" i="14"/>
  <c r="B21" i="14"/>
  <c r="B23" i="14"/>
  <c r="B24" i="14"/>
  <c r="C26" i="14"/>
  <c r="D27" i="14"/>
  <c r="D37" i="28"/>
  <c r="D39" i="28"/>
  <c r="B30" i="13"/>
  <c r="B31" i="13"/>
  <c r="B33" i="13"/>
  <c r="B3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63FCD909-B48B-4D4A-8EFF-F324999730F3}">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982BDB6A-3CAE-7443-81C0-876C1A915AB9}">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823A807B-697B-3348-920B-CF7DC80AD4F6}">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rgb="FF000000"/>
            <rFont val="Geneva"/>
            <family val="2"/>
          </rPr>
          <t>Aswath Damodaran:</t>
        </r>
        <r>
          <rPr>
            <sz val="9"/>
            <color rgb="FF000000"/>
            <rFont val="Geneva"/>
            <family val="2"/>
          </rPr>
          <t xml:space="preserve">
</t>
        </r>
        <r>
          <rPr>
            <sz val="9"/>
            <color rgb="FF000000"/>
            <rFont val="Geneva"/>
            <family val="2"/>
          </rPr>
          <t>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rgb="FF000000"/>
            <rFont val="Geneva"/>
            <family val="2"/>
          </rPr>
          <t>Aswath Damodaran</t>
        </r>
        <r>
          <rPr>
            <sz val="9"/>
            <color rgb="FF000000"/>
            <rFont val="Geneva"/>
            <family val="2"/>
          </rPr>
          <t xml:space="preserve">
</t>
        </r>
        <r>
          <rPr>
            <sz val="9"/>
            <color rgb="FF000000"/>
            <rFont val="Geneva"/>
            <family val="2"/>
          </rPr>
          <t xml:space="preserve">If you want to look at ways of estimating this probability, try these papers I have on the topic:
</t>
        </r>
        <r>
          <rPr>
            <sz val="9"/>
            <color rgb="FF000000"/>
            <rFont val="Geneva"/>
            <family val="2"/>
          </rPr>
          <t xml:space="preserve">For young growth companies: http://papers.ssrn.com/sol3/papers.cfm?abstract_id=1418687  
</t>
        </r>
        <r>
          <rPr>
            <sz val="9"/>
            <color rgb="FF000000"/>
            <rFont val="Geneva"/>
            <family val="2"/>
          </rPr>
          <t xml:space="preserve">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indexed="81"/>
            <rFont val="Geneva"/>
            <family val="2"/>
          </rPr>
          <t>Aswath Damodaran:</t>
        </r>
        <r>
          <rPr>
            <sz val="9"/>
            <color indexed="81"/>
            <rFont val="Geneva"/>
            <family val="2"/>
          </rPr>
          <t xml:space="preserve">
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<sst xmlns="http://schemas.openxmlformats.org/spreadsheetml/2006/main" count="1397" uniqueCount="766">
  <si>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</si>
  <si>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</si>
  <si>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</si>
  <si>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</si>
  <si>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</si>
  <si>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</si>
  <si>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</si>
  <si>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</si>
  <si>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</si>
  <si>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</si>
  <si>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</si>
  <si>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</si>
  <si>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</si>
  <si>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</si>
  <si>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</si>
  <si>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</si>
  <si>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</si>
  <si>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</si>
  <si>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</si>
  <si>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</si>
  <si>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</si>
  <si>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</si>
  <si>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</si>
  <si>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</si>
  <si>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</si>
  <si>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</si>
  <si>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</si>
  <si>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</si>
  <si>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</si>
  <si>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</si>
  <si>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</si>
  <si>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</si>
  <si>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</si>
  <si>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</si>
  <si>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</si>
  <si>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</si>
  <si>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</si>
  <si>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</si>
  <si>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</si>
  <si>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</si>
  <si>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</si>
  <si>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</si>
  <si>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</si>
  <si>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</si>
  <si>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</si>
  <si>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</si>
  <si>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</si>
  <si>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</si>
  <si>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</si>
  <si>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</si>
  <si>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</si>
  <si>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</si>
  <si>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</si>
  <si>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</si>
  <si>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</si>
  <si>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</si>
  <si>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</si>
  <si>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</si>
  <si>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</si>
  <si>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</si>
  <si>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</si>
  <si>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</si>
  <si>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</si>
  <si>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</si>
  <si>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</si>
  <si>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</si>
  <si>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</si>
  <si>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</si>
  <si>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</si>
  <si>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</si>
  <si>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</si>
  <si>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</si>
  <si>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</si>
  <si>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</si>
  <si>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</si>
  <si>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</si>
  <si>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</si>
  <si>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</si>
  <si>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</si>
  <si>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</si>
  <si>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</si>
  <si>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</si>
  <si>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</si>
  <si>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</si>
  <si>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</si>
  <si>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</si>
  <si>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</si>
  <si>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</si>
  <si>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</si>
  <si>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</si>
  <si>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</si>
  <si>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</si>
  <si>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</si>
  <si>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</si>
  <si>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</si>
  <si>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</si>
  <si>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</si>
  <si>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</si>
  <si>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</si>
  <si>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</si>
  <si>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</si>
  <si>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</si>
  <si>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</si>
  <si>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</si>
  <si>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</si>
  <si>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</si>
  <si>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</si>
  <si>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</si>
  <si>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</si>
  <si>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</si>
  <si>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</si>
  <si>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</si>
  <si>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</si>
  <si>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</si>
  <si>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</si>
  <si>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</si>
  <si>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</si>
  <si>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</si>
  <si>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</si>
  <si>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</si>
  <si>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</si>
  <si>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</si>
  <si>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</si>
  <si>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</si>
  <si>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</si>
  <si>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</si>
  <si>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</si>
  <si>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</si>
  <si>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</si>
  <si>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</si>
  <si>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</si>
  <si>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</si>
  <si>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</si>
  <si>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</si>
  <si>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</si>
  <si>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</si>
  <si>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</si>
  <si>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</si>
  <si>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</si>
  <si>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</si>
  <si>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</si>
  <si>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</si>
  <si>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</si>
  <si>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</si>
  <si>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</si>
  <si>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</si>
  <si>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</si>
  <si>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</si>
  <si>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</si>
  <si>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</si>
  <si>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</si>
  <si>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</si>
  <si>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</si>
  <si>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</si>
  <si>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</si>
  <si>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</si>
  <si>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</si>
  <si>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</si>
  <si>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</si>
  <si>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</si>
  <si>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</si>
  <si>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</si>
  <si>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</si>
  <si>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</si>
  <si>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</si>
  <si>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</si>
  <si>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</si>
  <si>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</si>
  <si>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</si>
  <si>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</si>
  <si>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</si>
  <si>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</si>
  <si>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</si>
  <si>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</si>
  <si>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</si>
  <si>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</si>
  <si>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</si>
  <si>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</si>
  <si>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</si>
  <si>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</si>
  <si>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</si>
  <si>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</si>
  <si>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</si>
  <si>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</si>
  <si>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</si>
  <si>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</si>
  <si>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</si>
  <si>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</si>
  <si>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</si>
  <si>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</si>
  <si>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</si>
  <si>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</si>
  <si>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</si>
  <si>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</si>
  <si>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</si>
  <si>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</si>
  <si>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</si>
  <si>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</si>
  <si>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</si>
  <si>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</si>
  <si>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</si>
  <si>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</si>
  <si>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</si>
  <si>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</si>
  <si>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</si>
  <si>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</si>
  <si>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</si>
  <si>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</si>
  <si>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</si>
  <si>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</si>
  <si>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</si>
  <si>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</si>
  <si>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</si>
  <si>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</si>
  <si>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</si>
  <si>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</si>
  <si>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</si>
  <si>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</si>
  <si>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</si>
  <si>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</si>
  <si>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</si>
  <si>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</si>
  <si>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</si>
  <si>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</si>
  <si>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</si>
  <si>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</si>
  <si>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</si>
  <si>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</si>
  <si>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</si>
  <si>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</si>
  <si>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</si>
  <si>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</si>
  <si>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</si>
  <si>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</si>
  <si>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</si>
  <si>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</si>
  <si>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</si>
  <si>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</si>
  <si>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</si>
  <si>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</si>
  <si>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</si>
  <si>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</si>
  <si>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</si>
  <si>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</si>
  <si>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</si>
  <si>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</si>
  <si>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</si>
  <si>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</si>
  <si>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</si>
  <si>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</si>
  <si>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</si>
  <si>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</si>
  <si>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</si>
  <si>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</si>
  <si>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</si>
  <si>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</si>
  <si>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</si>
  <si>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</si>
  <si>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</si>
  <si>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</si>
  <si>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</si>
  <si>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</si>
  <si>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</si>
  <si>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</si>
  <si>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</si>
  <si>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</si>
  <si>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</si>
  <si>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</si>
  <si>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</si>
  <si>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</si>
  <si>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</si>
  <si>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</si>
  <si>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</si>
  <si>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</si>
  <si>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</si>
  <si>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</si>
  <si>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</si>
  <si>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</si>
  <si>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</si>
  <si>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</si>
  <si>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</si>
  <si>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</si>
  <si>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</si>
  <si>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</si>
  <si>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</si>
  <si>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</si>
  <si>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</si>
  <si>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</si>
  <si>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</si>
  <si>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</si>
  <si>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</si>
  <si>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</si>
  <si>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</si>
  <si>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</si>
  <si>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</si>
  <si>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</si>
  <si>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</si>
  <si>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</si>
  <si>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</si>
  <si>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</si>
  <si>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</si>
  <si>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</si>
  <si>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</si>
  <si>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</si>
  <si>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</si>
  <si>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</si>
  <si>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</si>
  <si>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</si>
  <si>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</si>
  <si>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</si>
  <si>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</si>
  <si>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</si>
  <si>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</si>
  <si>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</si>
  <si>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</si>
  <si>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</si>
  <si>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</si>
  <si>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</si>
  <si>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</si>
  <si>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</si>
  <si>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</si>
  <si>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</si>
  <si>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</si>
  <si>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</si>
  <si>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</si>
  <si>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</si>
  <si>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</si>
  <si>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</si>
  <si>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</si>
  <si>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</si>
  <si>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</si>
  <si>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</si>
  <si>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</si>
  <si>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</si>
  <si>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</si>
  <si>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</si>
  <si>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</si>
  <si>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</si>
  <si>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</si>
  <si>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</si>
  <si>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</si>
  <si>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</si>
  <si>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</si>
  <si>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</si>
  <si>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</si>
  <si>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</si>
  <si>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</si>
  <si>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</si>
  <si>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</si>
  <si>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</si>
  <si>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</si>
  <si>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</si>
  <si>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</si>
  <si>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</si>
  <si>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</si>
  <si>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</si>
  <si>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</si>
  <si>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</si>
  <si>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</si>
  <si>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</si>
  <si>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</si>
  <si>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</si>
  <si>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</si>
  <si>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</si>
  <si>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</si>
  <si>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</si>
  <si>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</si>
  <si>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</si>
  <si>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</si>
  <si>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</si>
  <si>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</si>
  <si>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</si>
  <si>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</si>
  <si>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</si>
  <si>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</si>
  <si>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</si>
  <si>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</si>
  <si>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</si>
  <si>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</si>
  <si>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</si>
  <si>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</si>
  <si>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</si>
  <si>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</si>
  <si>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</si>
  <si>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</si>
  <si>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</si>
  <si>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</si>
  <si>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</si>
  <si>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</si>
  <si>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</si>
  <si>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</si>
  <si>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</si>
  <si>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</si>
  <si>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</si>
  <si>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</si>
  <si>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</si>
  <si>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</si>
  <si>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</si>
  <si>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</si>
  <si>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</si>
  <si>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</si>
  <si>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</si>
  <si>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</si>
  <si>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</si>
  <si>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</si>
  <si>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</si>
  <si>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</si>
  <si>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</si>
  <si>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</si>
  <si>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</si>
  <si>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</si>
  <si>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</si>
  <si>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</si>
  <si>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</si>
  <si>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</si>
  <si>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</si>
  <si>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</si>
  <si>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</si>
  <si>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</si>
  <si>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</si>
  <si>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</si>
  <si>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</si>
  <si>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</si>
  <si>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</si>
  <si>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</si>
  <si>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</si>
  <si>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</si>
  <si>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</si>
  <si>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</si>
  <si>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</si>
  <si>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</si>
  <si>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</si>
  <si>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</si>
  <si>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</si>
  <si>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</si>
  <si>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</si>
  <si>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</si>
  <si>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</si>
  <si>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</si>
  <si>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</si>
  <si>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</si>
  <si>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</si>
  <si>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</si>
  <si>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</si>
  <si>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</si>
  <si>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</si>
  <si>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</si>
  <si>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</si>
  <si>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</si>
  <si>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</si>
  <si>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</si>
  <si>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</si>
  <si>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</si>
  <si>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</si>
  <si>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</si>
  <si>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</si>
  <si>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</si>
  <si>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</si>
  <si>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</si>
  <si>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</si>
  <si>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</si>
  <si>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</si>
  <si>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</si>
  <si>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</si>
  <si>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</si>
  <si>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</si>
  <si>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</si>
  <si>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</si>
  <si>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</si>
  <si>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</si>
  <si>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</si>
  <si>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</si>
  <si>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</si>
  <si>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</si>
  <si>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</si>
  <si>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</si>
  <si>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</si>
  <si>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</si>
  <si>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</si>
  <si>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</si>
  <si>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</si>
  <si>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</si>
  <si>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</si>
  <si>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</si>
  <si>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</si>
  <si>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</si>
  <si>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</si>
  <si>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</si>
  <si>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</si>
  <si>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</si>
  <si>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</si>
  <si>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</si>
  <si>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</si>
  <si>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</si>
  <si>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</si>
  <si>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</si>
  <si>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</si>
  <si>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</si>
  <si>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</si>
  <si>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</si>
  <si>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</si>
  <si>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</si>
  <si>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</si>
  <si>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</si>
  <si>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</si>
  <si>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</si>
  <si>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</si>
  <si>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</si>
  <si>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</si>
  <si>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</si>
  <si>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</si>
  <si>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</si>
  <si>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</si>
  <si>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</si>
  <si>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</si>
  <si>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</si>
  <si>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</si>
  <si>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</si>
  <si>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</si>
  <si>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</si>
  <si>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</si>
  <si>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</si>
  <si>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</si>
  <si>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</si>
  <si>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</si>
  <si>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</si>
  <si>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</si>
  <si>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</si>
  <si>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</si>
  <si>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</si>
  <si>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</si>
  <si>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</si>
  <si>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</si>
  <si>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</si>
  <si>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</si>
  <si>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</si>
  <si>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</si>
  <si>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</si>
  <si>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</si>
  <si>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</si>
  <si>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</si>
  <si>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</si>
  <si>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</si>
  <si>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</si>
  <si>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</si>
  <si>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</si>
  <si>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</si>
  <si>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</si>
  <si>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</si>
  <si>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</si>
  <si>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</si>
  <si>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</si>
  <si>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</si>
  <si>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</si>
  <si>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</si>
  <si>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</si>
  <si>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</si>
  <si>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</si>
  <si>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</si>
  <si>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</si>
  <si>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</si>
  <si>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</si>
  <si>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</si>
  <si>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</si>
  <si>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</si>
  <si>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</si>
  <si>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</si>
  <si>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</si>
  <si>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</si>
  <si>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</si>
  <si>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</si>
  <si>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</si>
  <si>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</si>
  <si>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</si>
  <si>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</si>
  <si>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</si>
  <si>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</si>
  <si>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</si>
  <si>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</si>
  <si>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</si>
  <si>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</si>
  <si>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</si>
  <si>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</si>
  <si>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</si>
  <si>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</si>
  <si>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</si>
  <si>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</si>
  <si>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</si>
  <si>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</si>
  <si>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</si>
  <si>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</si>
  <si>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</si>
  <si>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</si>
  <si>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</si>
  <si>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</si>
  <si>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</si>
  <si>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</si>
  <si>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</si>
  <si>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</si>
  <si>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</si>
  <si>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</si>
  <si>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</si>
  <si>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</si>
  <si>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</si>
  <si>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</si>
  <si>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</si>
  <si>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</si>
  <si>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</si>
  <si>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</si>
  <si>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</si>
  <si>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</si>
  <si>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</si>
  <si>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</si>
  <si>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</si>
  <si>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</si>
  <si>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</si>
  <si>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</si>
  <si>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</si>
  <si>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</si>
  <si>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</si>
  <si>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</si>
  <si>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</si>
  <si>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</si>
  <si>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</si>
  <si>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</si>
  <si>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</si>
  <si>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</si>
  <si>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</si>
  <si>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</si>
  <si>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</si>
  <si>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</si>
  <si>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</si>
  <si>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</si>
  <si>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</si>
  <si>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</si>
  <si>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</si>
  <si>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</si>
  <si>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</si>
  <si>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</si>
  <si>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</si>
  <si>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</si>
  <si>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</si>
  <si>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</si>
  <si>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</si>
  <si>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</si>
  <si>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</si>
  <si>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</si>
  <si>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</si>
  <si>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</si>
  <si>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</si>
  <si>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</si>
  <si>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</si>
  <si>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</si>
  <si>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</si>
  <si>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</si>
  <si>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</si>
  <si>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</si>
  <si>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</si>
  <si>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</si>
  <si>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</si>
  <si>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</si>
  <si>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</si>
  <si>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</si>
  <si>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</si>
  <si>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</si>
  <si>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</si>
  <si>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</si>
  <si>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</si>
  <si>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</si>
  <si>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</si>
  <si>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</si>
  <si>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</si>
  <si>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</si>
  <si>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</si>
  <si>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</si>
  <si>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</si>
  <si>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</si>
  <si>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</si>
  <si>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</si>
  <si>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</si>
  <si>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</si>
  <si>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</si>
  <si>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</si>
  <si>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</si>
  <si>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</si>
  <si>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</si>
  <si>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</si>
  <si>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</si>
  <si>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</si>
  <si>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</si>
  <si>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</si>
  <si>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</si>
  <si>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</si>
  <si>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</si>
  <si>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</si>
  <si>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</si>
  <si>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</si>
  <si>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</si>
  <si>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</si>
  <si>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</si>
  <si>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</si>
  <si>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</si>
  <si>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</si>
  <si>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</si>
  <si>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</si>
  <si>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</si>
  <si>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</si>
  <si>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</si>
  <si>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</si>
  <si>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</si>
  <si>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</si>
  <si>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</si>
  <si>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</si>
  <si>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</si>
  <si>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</si>
  <si>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</si>
  <si>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</si>
  <si>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</si>
  <si>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</si>
  <si>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</si>
  <si>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</si>
  <si>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</si>
  <si>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</si>
  <si>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</si>
  <si>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</si>
  <si>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</si>
  <si>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</si>
  <si>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</si>
  <si>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</si>
  <si>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</si>
  <si>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</si>
  <si>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</si>
  <si>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</si>
  <si>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</si>
  <si>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</si>
  <si>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</si>
  <si>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</si>
  <si>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</si>
  <si>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</si>
  <si>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</si>
  <si>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</si>
  <si>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</si>
  <si>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</si>
  <si>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</si>
  <si>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</si>
  <si>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</si>
  <si>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</si>
  <si>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</si>
  <si>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</si>
  <si>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</si>
  <si>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</si>
  <si>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</si>
  <si>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</si>
  <si>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</si>
  <si>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</si>
  <si>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</si>
  <si>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</si>
  <si>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 xml:space="preserve">In its return to public markets, Levi Strauss is riding its iconic brand name to moderate growth and solid operating margins. It's brand name will persist, while the company pursues global growth while holding on to current operating margins, which are higher than the rest of the apparel business. </t>
  </si>
  <si>
    <t>Global growth opportunities</t>
  </si>
  <si>
    <t>Brand name allows margin preservation</t>
  </si>
  <si>
    <t>Tax rate converges on global average</t>
  </si>
  <si>
    <t>Hold to current investment efficiency</t>
  </si>
  <si>
    <t>Earn excess returns in long term</t>
  </si>
  <si>
    <t>Low cost of capital</t>
  </si>
  <si>
    <t>Legacy Obligations</t>
  </si>
  <si>
    <t>me2on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</si>
</sst>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8">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7"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8"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7"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9"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50"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41"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50"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51" fillId="0" borderId="0" xfId="0" applyFont="1"/>
    <xf numFmtId="0" fontId="52" fillId="0" borderId="31" xfId="0" applyFont="1" applyBorder="1" applyAlignment="1">
      <alignment horizontal="center"/>
    </xf>
    <xf numFmtId="0" fontId="52" fillId="0" borderId="14" xfId="0" applyFont="1" applyBorder="1" applyAlignment="1">
      <alignment horizontal="center"/>
    </xf>
    <xf numFmtId="16" fontId="52" fillId="0" borderId="14" xfId="0" applyNumberFormat="1" applyFont="1" applyBorder="1" applyAlignment="1">
      <alignment horizontal="center"/>
    </xf>
    <xf numFmtId="0" fontId="52" fillId="0" borderId="32" xfId="0" applyFont="1" applyFill="1" applyBorder="1" applyAlignment="1">
      <alignment horizontal="center"/>
    </xf>
    <xf numFmtId="0" fontId="52" fillId="0" borderId="33" xfId="0" applyFont="1" applyBorder="1"/>
    <xf numFmtId="166" fontId="46" fillId="0" borderId="34" xfId="2" applyFont="1" applyBorder="1"/>
    <xf numFmtId="0" fontId="53" fillId="0" borderId="35" xfId="0" applyFont="1" applyBorder="1"/>
    <xf numFmtId="0" fontId="53" fillId="0" borderId="36" xfId="0" applyFont="1" applyBorder="1"/>
    <xf numFmtId="171" fontId="53" fillId="0" borderId="1" xfId="2" applyNumberFormat="1" applyFont="1" applyBorder="1" applyAlignment="1">
      <alignment horizontal="center"/>
    </xf>
    <xf numFmtId="10" fontId="53" fillId="0" borderId="1" xfId="0" applyNumberFormat="1" applyFont="1" applyBorder="1" applyAlignment="1">
      <alignment horizontal="center"/>
    </xf>
    <xf numFmtId="0" fontId="53" fillId="0" borderId="1" xfId="0" applyFont="1" applyBorder="1" applyAlignment="1">
      <alignment horizontal="center"/>
    </xf>
    <xf numFmtId="10" fontId="53" fillId="0" borderId="13" xfId="0" applyNumberFormat="1" applyFont="1" applyBorder="1" applyAlignment="1">
      <alignment horizontal="center"/>
    </xf>
    <xf numFmtId="10" fontId="53" fillId="0" borderId="18" xfId="0" applyNumberFormat="1" applyFont="1" applyBorder="1" applyAlignment="1">
      <alignment horizontal="center"/>
    </xf>
    <xf numFmtId="2" fontId="53" fillId="0" borderId="13" xfId="0" applyNumberFormat="1" applyFont="1" applyBorder="1" applyAlignment="1"/>
    <xf numFmtId="2" fontId="53" fillId="0" borderId="18" xfId="0" applyNumberFormat="1" applyFont="1" applyBorder="1" applyAlignment="1">
      <alignment horizontal="left"/>
    </xf>
    <xf numFmtId="10" fontId="53" fillId="0" borderId="13" xfId="3" applyNumberFormat="1" applyFont="1" applyBorder="1" applyAlignment="1">
      <alignment horizontal="right"/>
    </xf>
    <xf numFmtId="10" fontId="53" fillId="0" borderId="18" xfId="3" applyNumberFormat="1" applyFont="1" applyBorder="1" applyAlignment="1">
      <alignment horizontal="center"/>
    </xf>
    <xf numFmtId="0" fontId="53" fillId="0" borderId="37" xfId="0" applyFont="1" applyFill="1" applyBorder="1"/>
    <xf numFmtId="10" fontId="53" fillId="0" borderId="25" xfId="0" applyNumberFormat="1" applyFont="1" applyBorder="1" applyAlignment="1">
      <alignment horizontal="center"/>
    </xf>
    <xf numFmtId="0" fontId="53" fillId="0" borderId="36" xfId="0" applyFont="1" applyBorder="1" applyAlignment="1">
      <alignment horizontal="center"/>
    </xf>
    <xf numFmtId="175" fontId="53" fillId="0" borderId="1" xfId="2" applyNumberFormat="1" applyFont="1" applyBorder="1"/>
    <xf numFmtId="10" fontId="53" fillId="0" borderId="1" xfId="3" applyNumberFormat="1" applyFont="1" applyBorder="1" applyAlignment="1">
      <alignment horizontal="center"/>
    </xf>
    <xf numFmtId="0" fontId="53" fillId="0" borderId="37" xfId="0" applyFont="1" applyBorder="1" applyAlignment="1">
      <alignment horizontal="center"/>
    </xf>
    <xf numFmtId="175" fontId="53" fillId="0" borderId="25" xfId="2" applyNumberFormat="1" applyFont="1" applyBorder="1"/>
    <xf numFmtId="10" fontId="53" fillId="0" borderId="25" xfId="3" applyNumberFormat="1" applyFont="1" applyBorder="1" applyAlignment="1">
      <alignment horizontal="center"/>
    </xf>
    <xf numFmtId="171" fontId="53" fillId="0" borderId="33" xfId="2" applyNumberFormat="1" applyFont="1" applyFill="1" applyBorder="1"/>
    <xf numFmtId="171" fontId="53" fillId="0" borderId="6" xfId="2" applyNumberFormat="1" applyFont="1" applyFill="1" applyBorder="1"/>
    <xf numFmtId="0" fontId="53" fillId="0" borderId="6" xfId="0" applyFont="1" applyBorder="1"/>
    <xf numFmtId="0" fontId="53" fillId="0" borderId="7" xfId="0" applyFont="1" applyBorder="1"/>
    <xf numFmtId="171" fontId="53" fillId="0" borderId="1" xfId="2" applyNumberFormat="1" applyFont="1" applyFill="1" applyBorder="1"/>
    <xf numFmtId="171" fontId="53" fillId="0" borderId="0" xfId="2" applyNumberFormat="1" applyFont="1" applyFill="1" applyBorder="1"/>
    <xf numFmtId="0" fontId="53" fillId="0" borderId="0" xfId="0" applyFont="1" applyBorder="1"/>
    <xf numFmtId="0" fontId="53" fillId="0" borderId="12" xfId="0" applyFont="1" applyBorder="1"/>
    <xf numFmtId="0" fontId="53" fillId="0" borderId="5" xfId="0" applyFont="1" applyFill="1" applyBorder="1" applyAlignment="1">
      <alignment horizontal="left"/>
    </xf>
    <xf numFmtId="0" fontId="53" fillId="0" borderId="0" xfId="0" applyFont="1" applyBorder="1" applyAlignment="1">
      <alignment horizontal="left"/>
    </xf>
    <xf numFmtId="0" fontId="53" fillId="0" borderId="0" xfId="0" applyFont="1"/>
    <xf numFmtId="0" fontId="53" fillId="0" borderId="0" xfId="0" applyFont="1" applyAlignment="1">
      <alignment horizontal="left"/>
    </xf>
    <xf numFmtId="43" fontId="53" fillId="0" borderId="1" xfId="0" applyNumberFormat="1" applyFont="1" applyBorder="1"/>
    <xf numFmtId="0" fontId="53" fillId="0" borderId="5" xfId="0" applyFont="1" applyBorder="1"/>
    <xf numFmtId="0" fontId="53" fillId="0" borderId="38" xfId="0" applyFont="1" applyBorder="1"/>
    <xf numFmtId="0" fontId="53" fillId="0" borderId="39" xfId="0" applyFont="1" applyBorder="1"/>
    <xf numFmtId="10" fontId="53" fillId="0" borderId="20" xfId="3" applyNumberFormat="1" applyFont="1" applyBorder="1" applyAlignment="1">
      <alignment horizontal="right"/>
    </xf>
    <xf numFmtId="10" fontId="53" fillId="0" borderId="17" xfId="3" applyNumberFormat="1" applyFont="1" applyBorder="1" applyAlignment="1">
      <alignment horizontal="center"/>
    </xf>
    <xf numFmtId="0" fontId="53" fillId="0" borderId="16" xfId="0" applyFont="1" applyBorder="1"/>
    <xf numFmtId="10" fontId="53" fillId="0" borderId="3" xfId="0" applyNumberFormat="1" applyFont="1" applyBorder="1" applyAlignment="1">
      <alignment horizontal="center"/>
    </xf>
    <xf numFmtId="0" fontId="53" fillId="0" borderId="34" xfId="0" applyFont="1" applyBorder="1" applyAlignment="1">
      <alignment horizontal="center"/>
    </xf>
    <xf numFmtId="0" fontId="53" fillId="0" borderId="40" xfId="0" applyFont="1" applyBorder="1" applyAlignment="1">
      <alignment horizontal="center"/>
    </xf>
    <xf numFmtId="2" fontId="53" fillId="0" borderId="15" xfId="0" applyNumberFormat="1" applyFont="1" applyBorder="1" applyAlignment="1"/>
    <xf numFmtId="10" fontId="53" fillId="0" borderId="17" xfId="3" applyNumberFormat="1" applyFont="1" applyBorder="1" applyAlignment="1">
      <alignment horizontal="left"/>
    </xf>
    <xf numFmtId="167" fontId="53" fillId="0" borderId="41" xfId="0" applyNumberFormat="1" applyFont="1" applyBorder="1" applyAlignment="1">
      <alignment horizontal="left"/>
    </xf>
    <xf numFmtId="0" fontId="52" fillId="0" borderId="42" xfId="0" applyFont="1" applyBorder="1" applyAlignment="1">
      <alignment horizontal="left"/>
    </xf>
    <xf numFmtId="175" fontId="53" fillId="0" borderId="13" xfId="2" applyNumberFormat="1" applyFont="1" applyBorder="1" applyAlignment="1">
      <alignment horizontal="left"/>
    </xf>
    <xf numFmtId="171" fontId="53" fillId="0" borderId="13" xfId="2" applyNumberFormat="1" applyFont="1" applyFill="1" applyBorder="1"/>
    <xf numFmtId="10" fontId="53"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50"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50" fillId="4" borderId="1" xfId="0" applyFont="1" applyFill="1" applyBorder="1"/>
    <xf numFmtId="173" fontId="38" fillId="0" borderId="0" xfId="0" applyNumberFormat="1" applyFont="1" applyAlignment="1">
      <alignment horizontal="right"/>
    </xf>
    <xf numFmtId="0" fontId="54" fillId="0" borderId="43" xfId="0" applyFont="1" applyBorder="1" applyAlignment="1">
      <alignment vertical="center" wrapText="1"/>
    </xf>
    <xf numFmtId="0" fontId="55" fillId="0" borderId="0" xfId="0" applyFont="1"/>
    <xf numFmtId="166" fontId="55" fillId="0" borderId="0" xfId="0" applyNumberFormat="1" applyFont="1"/>
    <xf numFmtId="10" fontId="55" fillId="0" borderId="0" xfId="0" applyNumberFormat="1" applyFont="1"/>
    <xf numFmtId="166" fontId="0" fillId="0" borderId="0" xfId="0" applyNumberFormat="1"/>
    <xf numFmtId="166" fontId="43" fillId="0" borderId="0" xfId="0" applyNumberFormat="1" applyFont="1"/>
    <xf numFmtId="2" fontId="55" fillId="0" borderId="0" xfId="0" applyNumberFormat="1" applyFont="1"/>
    <xf numFmtId="166" fontId="55" fillId="0" borderId="0" xfId="2" applyFont="1"/>
    <xf numFmtId="10" fontId="55" fillId="0" borderId="0" xfId="3" applyNumberFormat="1" applyFont="1"/>
    <xf numFmtId="10" fontId="0" fillId="0" borderId="0" xfId="3" applyNumberFormat="1" applyFont="1"/>
    <xf numFmtId="172" fontId="0" fillId="0" borderId="0" xfId="0" applyNumberFormat="1"/>
    <xf numFmtId="0" fontId="44" fillId="0" borderId="1" xfId="0" applyFont="1" applyBorder="1"/>
    <xf numFmtId="0" fontId="44" fillId="0" borderId="13" xfId="0" applyFont="1" applyBorder="1" applyAlignment="1">
      <alignment horizontal="center"/>
    </xf>
    <xf numFmtId="0" fontId="44" fillId="0" borderId="1" xfId="0" applyFont="1" applyFill="1" applyBorder="1"/>
    <xf numFmtId="10" fontId="42"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7" fillId="0" borderId="0" xfId="0" applyFont="1"/>
    <xf numFmtId="0" fontId="21" fillId="0" borderId="1" xfId="0" applyFont="1" applyBorder="1"/>
    <xf numFmtId="10" fontId="22" fillId="0" borderId="1" xfId="3" applyNumberFormat="1" applyFont="1" applyBorder="1" applyAlignment="1">
      <alignment horizontal="center"/>
    </xf>
    <xf numFmtId="0" fontId="53"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3" fillId="0" borderId="22" xfId="0" applyFont="1" applyFill="1" applyBorder="1" applyAlignment="1">
      <alignment horizontal="left"/>
    </xf>
    <xf numFmtId="0" fontId="53" fillId="0" borderId="5" xfId="0" applyFont="1" applyFill="1" applyBorder="1" applyAlignment="1">
      <alignment horizontal="left"/>
    </xf>
    <xf numFmtId="0" fontId="53" fillId="0" borderId="18" xfId="0" applyFont="1" applyFill="1" applyBorder="1" applyAlignment="1">
      <alignment horizontal="left"/>
    </xf>
    <xf numFmtId="0" fontId="53" fillId="0" borderId="46" xfId="0" applyFont="1" applyFill="1" applyBorder="1" applyAlignment="1">
      <alignment horizontal="left"/>
    </xf>
    <xf numFmtId="0" fontId="53" fillId="0" borderId="47" xfId="0" applyFont="1" applyFill="1" applyBorder="1" applyAlignment="1">
      <alignment horizontal="left"/>
    </xf>
    <xf numFmtId="0" fontId="53" fillId="0" borderId="48" xfId="0" applyFont="1" applyFill="1" applyBorder="1" applyAlignment="1">
      <alignment horizontal="left"/>
    </xf>
    <xf numFmtId="0" fontId="1" fillId="0" borderId="15" xfId="0" applyFont="1" applyBorder="1" applyAlignment="1">
      <alignment horizontal="left" vertical="top" wrapText="1"/>
    </xf>
    <xf numFmtId="0" fontId="56" fillId="0" borderId="16" xfId="0" applyFont="1" applyBorder="1" applyAlignment="1">
      <alignment horizontal="left" vertical="top" wrapText="1"/>
    </xf>
    <xf numFmtId="0" fontId="56" fillId="0" borderId="17" xfId="0" applyFont="1" applyBorder="1" applyAlignment="1">
      <alignment horizontal="left" vertical="top" wrapText="1"/>
    </xf>
    <xf numFmtId="0" fontId="56" fillId="0" borderId="20" xfId="0" applyFont="1" applyBorder="1" applyAlignment="1">
      <alignment horizontal="left" vertical="top" wrapText="1"/>
    </xf>
    <xf numFmtId="0" fontId="56" fillId="0" borderId="0" xfId="0" applyFont="1" applyBorder="1" applyAlignment="1">
      <alignment horizontal="left" vertical="top" wrapText="1"/>
    </xf>
    <xf numFmtId="0" fontId="56" fillId="0" borderId="21" xfId="0" applyFont="1" applyBorder="1" applyAlignment="1">
      <alignment horizontal="left" vertical="top" wrapText="1"/>
    </xf>
    <xf numFmtId="0" fontId="56" fillId="0" borderId="49" xfId="0" applyFont="1" applyBorder="1" applyAlignment="1">
      <alignment horizontal="left" vertical="top" wrapText="1"/>
    </xf>
    <xf numFmtId="0" fontId="56" fillId="0" borderId="50" xfId="0" applyFont="1" applyBorder="1" applyAlignment="1">
      <alignment horizontal="left" vertical="top" wrapText="1"/>
    </xf>
    <xf numFmtId="0" fontId="56" fillId="0" borderId="30" xfId="0" applyFont="1" applyBorder="1" applyAlignment="1">
      <alignment horizontal="left" vertical="top" wrapText="1"/>
    </xf>
    <xf numFmtId="0" fontId="57" fillId="0" borderId="15" xfId="0" applyFont="1" applyBorder="1" applyAlignment="1">
      <alignment horizontal="left" wrapText="1"/>
    </xf>
    <xf numFmtId="0" fontId="58" fillId="0" borderId="16" xfId="0" applyFont="1" applyBorder="1" applyAlignment="1">
      <alignment horizontal="left" wrapText="1"/>
    </xf>
    <xf numFmtId="0" fontId="58" fillId="0" borderId="17" xfId="0" applyFont="1" applyBorder="1" applyAlignment="1">
      <alignment horizontal="left" wrapText="1"/>
    </xf>
    <xf numFmtId="0" fontId="58" fillId="0" borderId="20" xfId="0" applyFont="1" applyBorder="1" applyAlignment="1">
      <alignment horizontal="left" wrapText="1"/>
    </xf>
    <xf numFmtId="0" fontId="58" fillId="0" borderId="0" xfId="0" applyFont="1" applyBorder="1" applyAlignment="1">
      <alignment horizontal="left" wrapText="1"/>
    </xf>
    <xf numFmtId="0" fontId="58" fillId="0" borderId="21" xfId="0" applyFont="1" applyBorder="1" applyAlignment="1">
      <alignment horizontal="left" wrapText="1"/>
    </xf>
    <xf numFmtId="0" fontId="58" fillId="0" borderId="49" xfId="0" applyFont="1" applyBorder="1" applyAlignment="1">
      <alignment horizontal="left" wrapText="1"/>
    </xf>
    <xf numFmtId="0" fontId="58" fillId="0" borderId="50" xfId="0" applyFont="1" applyBorder="1" applyAlignment="1">
      <alignment horizontal="left" wrapText="1"/>
    </xf>
    <xf numFmtId="0" fontId="58" fillId="0" borderId="30" xfId="0" applyFont="1" applyBorder="1" applyAlignment="1">
      <alignment horizontal="left" wrapText="1"/>
    </xf>
    <xf numFmtId="0" fontId="46" fillId="0" borderId="15" xfId="0" applyFont="1" applyBorder="1" applyAlignment="1">
      <alignment horizontal="left" vertical="center" wrapText="1"/>
    </xf>
    <xf numFmtId="0" fontId="46" fillId="0" borderId="16" xfId="0" applyFont="1" applyBorder="1" applyAlignment="1">
      <alignment horizontal="left" vertical="center" wrapText="1"/>
    </xf>
    <xf numFmtId="0" fontId="46" fillId="0" borderId="17" xfId="0" applyFont="1" applyBorder="1" applyAlignment="1">
      <alignment horizontal="left" vertical="center" wrapText="1"/>
    </xf>
    <xf numFmtId="0" fontId="46" fillId="0" borderId="20" xfId="0" applyFont="1" applyBorder="1" applyAlignment="1">
      <alignment horizontal="left" vertical="center" wrapText="1"/>
    </xf>
    <xf numFmtId="0" fontId="46" fillId="0" borderId="0" xfId="0" applyFont="1" applyBorder="1" applyAlignment="1">
      <alignment horizontal="left" vertical="center" wrapText="1"/>
    </xf>
    <xf numFmtId="0" fontId="46" fillId="0" borderId="21" xfId="0" applyFont="1" applyBorder="1" applyAlignment="1">
      <alignment horizontal="left" vertical="center" wrapText="1"/>
    </xf>
    <xf numFmtId="0" fontId="46" fillId="0" borderId="49" xfId="0" applyFont="1" applyBorder="1" applyAlignment="1">
      <alignment horizontal="left" vertical="center" wrapText="1"/>
    </xf>
    <xf numFmtId="0" fontId="46" fillId="0" borderId="50" xfId="0" applyFont="1" applyBorder="1" applyAlignment="1">
      <alignment horizontal="left" vertical="center" wrapText="1"/>
    </xf>
    <xf numFmtId="0" fontId="46" fillId="0" borderId="30" xfId="0" applyFont="1" applyBorder="1" applyAlignment="1">
      <alignment horizontal="left" vertical="center" wrapText="1"/>
    </xf>
    <xf numFmtId="0" fontId="59" fillId="0" borderId="15" xfId="0" applyFont="1" applyBorder="1" applyAlignment="1">
      <alignment horizontal="left" vertical="center" wrapText="1"/>
    </xf>
    <xf numFmtId="0" fontId="53" fillId="0" borderId="16" xfId="0" applyFont="1" applyBorder="1" applyAlignment="1">
      <alignment horizontal="left" vertical="center" wrapText="1"/>
    </xf>
    <xf numFmtId="0" fontId="53" fillId="0" borderId="17" xfId="0" applyFont="1" applyBorder="1" applyAlignment="1">
      <alignment horizontal="left" vertical="center" wrapText="1"/>
    </xf>
    <xf numFmtId="0" fontId="53" fillId="0" borderId="20" xfId="0" applyFont="1" applyBorder="1" applyAlignment="1">
      <alignment horizontal="left" vertical="center" wrapText="1"/>
    </xf>
    <xf numFmtId="0" fontId="53" fillId="0" borderId="0" xfId="0" applyFont="1" applyBorder="1" applyAlignment="1">
      <alignment horizontal="left" vertical="center" wrapText="1"/>
    </xf>
    <xf numFmtId="0" fontId="53" fillId="0" borderId="21" xfId="0" applyFont="1" applyBorder="1" applyAlignment="1">
      <alignment horizontal="left" vertical="center" wrapText="1"/>
    </xf>
    <xf numFmtId="0" fontId="53" fillId="0" borderId="49" xfId="0" applyFont="1" applyBorder="1" applyAlignment="1">
      <alignment horizontal="left" vertical="center" wrapText="1"/>
    </xf>
    <xf numFmtId="0" fontId="53" fillId="0" borderId="50" xfId="0" applyFont="1" applyBorder="1" applyAlignment="1">
      <alignment horizontal="left" vertical="center" wrapText="1"/>
    </xf>
    <xf numFmtId="0" fontId="53" fillId="0" borderId="30" xfId="0" applyFont="1" applyBorder="1" applyAlignment="1">
      <alignment horizontal="left" vertical="center" wrapText="1"/>
    </xf>
    <xf numFmtId="0" fontId="46" fillId="0" borderId="11" xfId="0" applyFont="1" applyBorder="1" applyAlignment="1">
      <alignment horizontal="left" vertical="center" wrapText="1"/>
    </xf>
    <xf numFmtId="0" fontId="46" fillId="0" borderId="0" xfId="0" applyFont="1" applyAlignment="1">
      <alignment horizontal="left" vertical="center" wrapText="1"/>
    </xf>
    <xf numFmtId="171" fontId="53" fillId="0" borderId="13" xfId="2" applyNumberFormat="1" applyFont="1" applyFill="1" applyBorder="1" applyAlignment="1">
      <alignment horizontal="right"/>
    </xf>
    <xf numFmtId="171" fontId="53" fillId="0" borderId="5" xfId="2" applyNumberFormat="1" applyFont="1" applyFill="1" applyBorder="1" applyAlignment="1">
      <alignment horizontal="right"/>
    </xf>
    <xf numFmtId="0" fontId="53" fillId="0" borderId="36" xfId="0" applyFont="1" applyBorder="1" applyAlignment="1">
      <alignment horizontal="left"/>
    </xf>
    <xf numFmtId="0" fontId="53" fillId="0" borderId="1" xfId="0" applyFont="1" applyBorder="1" applyAlignment="1">
      <alignment horizontal="left"/>
    </xf>
    <xf numFmtId="0" fontId="53" fillId="0" borderId="37" xfId="0" applyFont="1" applyBorder="1" applyAlignment="1">
      <alignment horizontal="left"/>
    </xf>
    <xf numFmtId="0" fontId="53" fillId="0" borderId="25" xfId="0" applyFont="1" applyBorder="1" applyAlignment="1">
      <alignment horizontal="left"/>
    </xf>
    <xf numFmtId="0" fontId="53" fillId="0" borderId="45" xfId="0" applyFont="1" applyBorder="1" applyAlignment="1">
      <alignment horizontal="right"/>
    </xf>
    <xf numFmtId="0" fontId="53" fillId="0" borderId="43" xfId="0" applyFont="1" applyBorder="1" applyAlignment="1">
      <alignment horizontal="right"/>
    </xf>
    <xf numFmtId="0" fontId="45" fillId="0" borderId="0" xfId="0" applyFont="1" applyBorder="1" applyAlignment="1">
      <alignment horizontal="center"/>
    </xf>
    <xf numFmtId="0" fontId="56" fillId="0" borderId="1" xfId="0" applyFont="1" applyBorder="1" applyAlignment="1">
      <alignment horizontal="center"/>
    </xf>
    <xf numFmtId="0" fontId="56" fillId="0" borderId="13" xfId="0" applyFont="1" applyBorder="1" applyAlignment="1">
      <alignment horizontal="center"/>
    </xf>
    <xf numFmtId="0" fontId="56" fillId="0" borderId="5" xfId="0" applyFont="1" applyBorder="1" applyAlignment="1">
      <alignment horizontal="center"/>
    </xf>
    <xf numFmtId="0" fontId="56" fillId="0" borderId="18" xfId="0" applyFont="1" applyBorder="1" applyAlignment="1">
      <alignment horizontal="center"/>
    </xf>
    <xf numFmtId="0" fontId="56" fillId="0" borderId="44" xfId="0" applyFont="1" applyFill="1" applyBorder="1" applyAlignment="1">
      <alignment horizontal="center"/>
    </xf>
    <xf numFmtId="0" fontId="56" fillId="0" borderId="44" xfId="0" applyFont="1" applyBorder="1" applyAlignment="1">
      <alignment horizontal="center"/>
    </xf>
    <xf numFmtId="10" fontId="60" fillId="0" borderId="45" xfId="0" applyNumberFormat="1" applyFont="1" applyBorder="1" applyAlignment="1">
      <alignment horizontal="center"/>
    </xf>
    <xf numFmtId="10" fontId="60"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topLeftCell="A5" zoomScaleNormal="100" workbookViewId="0">
      <selection activeCell="D33" sqref="D33"/>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42014</v>
      </c>
      <c r="C1" s="169" t="s">
        <v>388</v>
      </c>
      <c r="D1" s="170"/>
      <c r="E1" s="170"/>
      <c r="F1" s="170"/>
      <c r="G1" s="170"/>
      <c r="H1" s="170"/>
      <c r="I1" s="170"/>
      <c r="J1" s="171"/>
    </row>
    <row r="2" spans="1:10" s="56" customFormat="1" ht="14" thickBot="1">
      <c r="A2" s="53" t="s">
        <v>34</v>
      </c>
      <c r="B2" s="229" t="s">
        <v>765</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499</v>
      </c>
      <c r="C5" s="172"/>
      <c r="D5" s="82"/>
      <c r="E5" s="82"/>
      <c r="F5" s="82"/>
      <c r="G5" s="82"/>
      <c r="H5" s="82"/>
      <c r="I5" s="82"/>
    </row>
    <row r="6" spans="1:10" s="56" customFormat="1" ht="13">
      <c r="A6" s="156" t="s">
        <v>438</v>
      </c>
      <c r="B6" s="157" t="s">
        <v>593</v>
      </c>
      <c r="C6" s="82"/>
      <c r="D6" s="82"/>
      <c r="E6" s="82"/>
      <c r="F6" s="82"/>
      <c r="G6" s="82"/>
      <c r="H6" s="82"/>
      <c r="I6" s="82"/>
    </row>
    <row r="7" spans="1:10" s="56" customFormat="1" ht="13">
      <c r="A7" s="156" t="s">
        <v>439</v>
      </c>
      <c r="B7" s="157" t="s">
        <v>593</v>
      </c>
      <c r="C7" s="246" t="s">
        <v>397</v>
      </c>
      <c r="D7" s="246" t="s">
        <v>624</v>
      </c>
      <c r="E7" s="82"/>
      <c r="F7" s="82"/>
      <c r="G7" s="82"/>
      <c r="H7" s="82"/>
      <c r="I7" s="82"/>
    </row>
    <row r="8" spans="1:10" s="56" customFormat="1" ht="13">
      <c r="A8" s="60" t="s">
        <v>11</v>
      </c>
      <c r="B8" s="61">
        <v>1107.7</v>
      </c>
      <c r="C8" s="85">
        <v>988</v>
      </c>
      <c r="D8" s="245">
        <v>0.75</v>
      </c>
    </row>
    <row r="9" spans="1:10" s="56" customFormat="1" ht="13">
      <c r="A9" s="60" t="s">
        <v>29</v>
      </c>
      <c r="B9" s="61">
        <v>357.4</v>
      </c>
      <c r="C9" s="85">
        <v>295</v>
      </c>
      <c r="D9" s="245">
        <v>0.75</v>
      </c>
    </row>
    <row r="10" spans="1:10" s="56" customFormat="1" ht="13">
      <c r="A10" s="60" t="s">
        <v>441</v>
      </c>
      <c r="B10" s="85">
        <v>21.4</v>
      </c>
      <c r="C10" s="85">
        <v>17.8</v>
      </c>
      <c r="D10" s="62"/>
    </row>
    <row r="11" spans="1:10" s="56" customFormat="1" ht="13">
      <c r="A11" s="60" t="s">
        <v>30</v>
      </c>
      <c r="B11" s="61">
        <v>923</v>
      </c>
      <c r="C11" s="85">
        <v>913.1</v>
      </c>
      <c r="D11" s="62"/>
    </row>
    <row r="12" spans="1:10" s="56" customFormat="1" ht="13">
      <c r="A12" s="60" t="s">
        <v>31</v>
      </c>
      <c r="B12" s="61">
        <v>323.8</v>
      </c>
      <c r="C12" s="85">
        <v>456.8</v>
      </c>
      <c r="D12" s="62"/>
    </row>
    <row r="13" spans="1:10" s="56" customFormat="1" ht="13">
      <c r="A13" s="160" t="s">
        <v>428</v>
      </c>
      <c r="B13" s="198" t="s">
        <v>53</v>
      </c>
      <c r="C13" s="199" t="s">
        <v>429</v>
      </c>
      <c r="D13" s="62"/>
    </row>
    <row r="14" spans="1:10" s="56" customFormat="1" ht="13">
      <c r="A14" s="60" t="s">
        <v>246</v>
      </c>
      <c r="B14" s="85" t="s">
        <v>53</v>
      </c>
      <c r="C14" s="62" t="s">
        <v>249</v>
      </c>
      <c r="D14" s="62"/>
    </row>
    <row r="15" spans="1:10" s="56" customFormat="1" ht="13">
      <c r="A15" s="60" t="s">
        <v>607</v>
      </c>
      <c r="B15" s="85">
        <v>451</v>
      </c>
      <c r="C15" s="85">
        <v>332.1</v>
      </c>
      <c r="D15" s="62"/>
    </row>
    <row r="16" spans="1:10" s="56" customFormat="1" ht="13">
      <c r="A16" s="60" t="s">
        <v>608</v>
      </c>
      <c r="B16" s="173">
        <v>0</v>
      </c>
      <c r="C16" s="85">
        <v>0</v>
      </c>
      <c r="D16" s="62"/>
    </row>
    <row r="17" spans="1:11" s="56" customFormat="1" ht="13">
      <c r="A17" s="60" t="s">
        <v>393</v>
      </c>
      <c r="B17" s="173">
        <v>243</v>
      </c>
      <c r="C17" s="85">
        <v>0</v>
      </c>
      <c r="D17" s="62"/>
    </row>
    <row r="18" spans="1:11" s="56" customFormat="1" ht="13">
      <c r="A18" s="60" t="s">
        <v>764</v>
      </c>
      <c r="B18" s="173">
        <v>0</v>
      </c>
      <c r="C18" s="358"/>
      <c r="D18" s="62"/>
    </row>
    <row r="19" spans="1:11" s="56" customFormat="1" ht="14" thickBot="1">
      <c r="A19" s="60" t="s">
        <v>32</v>
      </c>
      <c r="B19" s="158">
        <v>3125.7</v>
      </c>
      <c r="C19" s="62"/>
    </row>
    <row r="20" spans="1:11" s="56" customFormat="1" ht="13">
      <c r="A20" s="60" t="s">
        <v>33</v>
      </c>
      <c r="B20" s="61">
        <v>0.58399999999999996</v>
      </c>
      <c r="C20" s="62"/>
      <c r="E20" s="86" t="s">
        <v>245</v>
      </c>
      <c r="F20" s="54"/>
      <c r="G20" s="54"/>
      <c r="H20" s="54"/>
      <c r="I20" s="54"/>
      <c r="J20" s="54"/>
      <c r="K20" s="55"/>
    </row>
    <row r="21" spans="1:11" s="56" customFormat="1" ht="13">
      <c r="A21" s="63" t="s">
        <v>106</v>
      </c>
      <c r="B21" s="64">
        <v>0.17699999999999999</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0.16471664357347215</v>
      </c>
      <c r="J23" s="259">
        <f>VLOOKUP(B6,'Industry Average Beta (US)'!A2:S95,3)</f>
        <v>0.23505769230769225</v>
      </c>
      <c r="K23" s="260">
        <f>VLOOKUP(B7,'Industry Average Beta (Global)'!A2:N95,3)</f>
        <v>0.15069432989690723</v>
      </c>
    </row>
    <row r="24" spans="1:11" s="56" customFormat="1" ht="13">
      <c r="A24" s="60" t="s">
        <v>49</v>
      </c>
      <c r="B24" s="67">
        <v>0.05</v>
      </c>
      <c r="C24" s="62" t="s">
        <v>611</v>
      </c>
      <c r="E24" s="87" t="s">
        <v>177</v>
      </c>
      <c r="F24" s="82"/>
      <c r="G24" s="82"/>
      <c r="H24" s="82"/>
      <c r="I24" s="259">
        <f>'Valuation output'!B4</f>
        <v>0.32265053714904757</v>
      </c>
      <c r="J24" s="260">
        <f>VLOOKUP(B6,'Industry Average Beta (US)'!A2:S95,4)</f>
        <v>0.27621105166409365</v>
      </c>
      <c r="K24" s="260">
        <f>VLOOKUP(B7,'Industry Average Beta (Global)'!A2:N95,4)</f>
        <v>0.26407116704871408</v>
      </c>
    </row>
    <row r="25" spans="1:11" s="56" customFormat="1" ht="13">
      <c r="A25" s="60" t="s">
        <v>51</v>
      </c>
      <c r="B25" s="67">
        <v>0.3</v>
      </c>
      <c r="C25" s="62" t="s">
        <v>609</v>
      </c>
      <c r="E25" s="87" t="s">
        <v>178</v>
      </c>
      <c r="F25" s="82"/>
      <c r="G25" s="82"/>
      <c r="H25" s="82"/>
      <c r="I25" s="261">
        <f>B8/'Valuation output'!B39</f>
        <v>1.3919326463935664</v>
      </c>
      <c r="J25" s="261">
        <f>VLOOKUP(B6,'Industry Average Beta (US)'!A2:S95,14)</f>
        <v>0.69333437905637207</v>
      </c>
      <c r="K25" s="261">
        <f>VLOOKUP(B7,'Industry Average Beta (Global)'!A2:N95,14)</f>
        <v>0.76245026576293129</v>
      </c>
    </row>
    <row r="26" spans="1:11" s="56" customFormat="1" ht="13">
      <c r="A26" s="60" t="s">
        <v>685</v>
      </c>
      <c r="B26" s="68">
        <v>5</v>
      </c>
      <c r="C26" s="62" t="s">
        <v>686</v>
      </c>
      <c r="E26" s="87" t="s">
        <v>179</v>
      </c>
      <c r="F26" s="82"/>
      <c r="G26" s="82"/>
      <c r="H26" s="82"/>
      <c r="I26" s="260">
        <f>'Valuation output'!B7/'Valuation output'!B39</f>
        <v>0.36961573259612968</v>
      </c>
      <c r="J26" s="260">
        <f>VLOOKUP(B6,'Industry Average Beta (US)'!A2:S95,5)</f>
        <v>0.19760740280091274</v>
      </c>
      <c r="K26" s="260">
        <f>VLOOKUP(B7,'Industry Average Beta (Global)'!A2:N95,5)</f>
        <v>0.19525949335666448</v>
      </c>
    </row>
    <row r="27" spans="1:11" s="56" customFormat="1" ht="13">
      <c r="A27" s="60" t="s">
        <v>37</v>
      </c>
      <c r="B27" s="68">
        <f>I25</f>
        <v>1.3919326463935664</v>
      </c>
      <c r="C27" s="62" t="s">
        <v>610</v>
      </c>
      <c r="E27" s="87" t="s">
        <v>386</v>
      </c>
      <c r="F27" s="82"/>
      <c r="G27" s="82"/>
      <c r="H27" s="82"/>
      <c r="I27" s="168"/>
      <c r="J27" s="262">
        <f>VLOOKUP(B6,'Industry Average Beta (US)'!A2:S95,10)</f>
        <v>0.65580117293529283</v>
      </c>
      <c r="K27" s="260">
        <f>VLOOKUP(B6,'Industry Average Beta (Global)'!A2:Z95,10)</f>
        <v>0.59167687293972049</v>
      </c>
    </row>
    <row r="28" spans="1:11" s="56" customFormat="1" ht="14" thickBot="1">
      <c r="A28" s="65" t="s">
        <v>36</v>
      </c>
      <c r="B28" s="69"/>
      <c r="C28" s="62"/>
      <c r="E28" s="58" t="s">
        <v>385</v>
      </c>
      <c r="F28" s="59"/>
      <c r="G28" s="59"/>
      <c r="H28" s="59"/>
      <c r="I28" s="59"/>
      <c r="J28" s="263">
        <f>VLOOKUP(B6,'Industry Average Beta (US)'!A2:S95,13)</f>
        <v>0.10044385142113507</v>
      </c>
      <c r="K28" s="260">
        <f>VLOOKUP(B6,'Industry Average Beta (Global)'!A2:Z95,13)</f>
        <v>0.11559401185528981</v>
      </c>
    </row>
    <row r="29" spans="1:11" s="56" customFormat="1" ht="14" thickBot="1">
      <c r="A29" s="60" t="s">
        <v>27</v>
      </c>
      <c r="B29" s="67">
        <v>1.67E-2</v>
      </c>
      <c r="C29" s="62"/>
    </row>
    <row r="30" spans="1:11" s="56" customFormat="1" ht="13">
      <c r="A30" s="60" t="s">
        <v>39</v>
      </c>
      <c r="B30" s="159">
        <f>'Cost of capital worksheet'!E50</f>
        <v>0.10714105571586939</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1666.0919704198175</v>
      </c>
    </row>
    <row r="32" spans="1:11" s="56" customFormat="1" ht="13">
      <c r="A32" s="63" t="s">
        <v>248</v>
      </c>
      <c r="B32" s="159" t="s">
        <v>59</v>
      </c>
      <c r="C32"/>
      <c r="D32" s="62"/>
      <c r="E32" s="247" t="s">
        <v>615</v>
      </c>
      <c r="F32" s="63"/>
      <c r="G32" s="63"/>
      <c r="H32" s="63"/>
      <c r="I32" s="63"/>
      <c r="J32" s="258">
        <f>'Valuation output'!M5</f>
        <v>499.82759112594522</v>
      </c>
    </row>
    <row r="33" spans="1:14" s="56" customFormat="1" ht="13">
      <c r="A33" s="63" t="s">
        <v>92</v>
      </c>
      <c r="B33" s="68">
        <v>72</v>
      </c>
      <c r="C33" s="257"/>
      <c r="D33" s="62"/>
      <c r="E33" s="247" t="s">
        <v>614</v>
      </c>
      <c r="F33" s="63"/>
      <c r="G33" s="63"/>
      <c r="H33" s="63"/>
      <c r="I33" s="63"/>
      <c r="J33" s="259">
        <f>'Valuation output'!L40</f>
        <v>0.31318484543855246</v>
      </c>
    </row>
    <row r="34" spans="1:14" s="56" customFormat="1" ht="14" thickBot="1">
      <c r="A34" s="63" t="s">
        <v>93</v>
      </c>
      <c r="B34" s="71">
        <v>0.86</v>
      </c>
      <c r="C34" s="256"/>
      <c r="D34" s="62"/>
      <c r="E34" s="248" t="s">
        <v>616</v>
      </c>
      <c r="F34" s="59"/>
      <c r="G34" s="59"/>
      <c r="H34" s="59"/>
      <c r="I34" s="59"/>
      <c r="J34" s="249"/>
    </row>
    <row r="35" spans="1:14" s="56" customFormat="1" ht="13">
      <c r="A35" s="63" t="s">
        <v>94</v>
      </c>
      <c r="B35" s="68">
        <v>5</v>
      </c>
      <c r="C35" s="257"/>
      <c r="D35" s="62"/>
    </row>
    <row r="36" spans="1:14" s="56" customFormat="1" ht="13">
      <c r="A36" s="63" t="s">
        <v>95</v>
      </c>
      <c r="B36" s="67">
        <v>0.6</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53</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5.5500000000000001E-2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6.2386857967356199E-2</v>
      </c>
      <c r="E5" s="356">
        <v>6.8868579673562009E-3</v>
      </c>
      <c r="F5" s="356">
        <v>0.55000000000000004</v>
      </c>
      <c r="G5" s="1" t="s">
        <v>365</v>
      </c>
    </row>
    <row r="6" spans="1:7" ht="16">
      <c r="A6" s="44" t="s">
        <v>250</v>
      </c>
      <c r="B6" s="50" t="s">
        <v>690</v>
      </c>
      <c r="C6" s="354">
        <v>5.0795714354283386E-2</v>
      </c>
      <c r="D6" s="342">
        <f t="shared" ref="D6:D69" si="0">$D$173+E6</f>
        <v>0.11798258410383172</v>
      </c>
      <c r="E6" s="356">
        <v>6.2482584103831722E-2</v>
      </c>
      <c r="F6" s="356">
        <v>0.15</v>
      </c>
      <c r="G6" s="1" t="s">
        <v>359</v>
      </c>
    </row>
    <row r="7" spans="1:7" ht="16">
      <c r="A7" s="355" t="s">
        <v>691</v>
      </c>
      <c r="B7" s="50" t="s">
        <v>100</v>
      </c>
      <c r="C7" s="287">
        <v>6.2094961435095908E-2</v>
      </c>
      <c r="D7" s="342">
        <f t="shared" si="0"/>
        <v>0.13188151563795059</v>
      </c>
      <c r="E7" s="3">
        <v>7.6381515637950578E-2</v>
      </c>
      <c r="F7" s="357">
        <v>0.26</v>
      </c>
      <c r="G7" s="1" t="s">
        <v>360</v>
      </c>
    </row>
    <row r="8" spans="1:7" ht="16">
      <c r="A8" s="44" t="s">
        <v>506</v>
      </c>
      <c r="B8" s="50" t="s">
        <v>692</v>
      </c>
      <c r="C8" s="354">
        <v>2.147874895541842E-2</v>
      </c>
      <c r="D8" s="342">
        <f t="shared" si="0"/>
        <v>8.1920491474766516E-2</v>
      </c>
      <c r="E8" s="356">
        <v>2.6420491474766512E-2</v>
      </c>
      <c r="F8" s="356">
        <v>0.1</v>
      </c>
      <c r="G8" s="1" t="s">
        <v>358</v>
      </c>
    </row>
    <row r="9" spans="1:7" ht="16">
      <c r="A9" s="44" t="s">
        <v>251</v>
      </c>
      <c r="B9" s="50" t="s">
        <v>703</v>
      </c>
      <c r="C9" s="354">
        <v>7.3394208515908457E-2</v>
      </c>
      <c r="D9" s="342">
        <f t="shared" si="0"/>
        <v>0.14578044717206948</v>
      </c>
      <c r="E9" s="356">
        <v>9.028044717206947E-2</v>
      </c>
      <c r="F9" s="356">
        <v>0.3</v>
      </c>
      <c r="G9" s="1" t="s">
        <v>360</v>
      </c>
    </row>
    <row r="10" spans="1:7" ht="16">
      <c r="A10" s="44" t="s">
        <v>252</v>
      </c>
      <c r="B10" s="50" t="s">
        <v>693</v>
      </c>
      <c r="C10" s="354">
        <v>6.2094961435095908E-2</v>
      </c>
      <c r="D10" s="342">
        <f t="shared" si="0"/>
        <v>0.13188151563795059</v>
      </c>
      <c r="E10" s="356">
        <v>7.6381515637950578E-2</v>
      </c>
      <c r="F10" s="356">
        <v>0.3</v>
      </c>
      <c r="G10" s="1" t="s">
        <v>361</v>
      </c>
    </row>
    <row r="11" spans="1:7" ht="16">
      <c r="A11" s="44" t="s">
        <v>253</v>
      </c>
      <c r="B11" s="50" t="s">
        <v>690</v>
      </c>
      <c r="C11" s="354">
        <v>5.0795714354283386E-2</v>
      </c>
      <c r="D11" s="342">
        <f t="shared" si="0"/>
        <v>0.11798258410383172</v>
      </c>
      <c r="E11" s="356">
        <v>6.2482584103831722E-2</v>
      </c>
      <c r="F11" s="356">
        <v>0.2</v>
      </c>
      <c r="G11" s="1" t="s">
        <v>359</v>
      </c>
    </row>
    <row r="12" spans="1:7" ht="16">
      <c r="A12" s="44" t="s">
        <v>254</v>
      </c>
      <c r="B12" s="50" t="s">
        <v>694</v>
      </c>
      <c r="C12" s="354">
        <v>1.8017718318052423E-2</v>
      </c>
      <c r="D12" s="342">
        <f t="shared" si="0"/>
        <v>7.7663161094946323E-2</v>
      </c>
      <c r="E12" s="356">
        <v>2.2163161094946322E-2</v>
      </c>
      <c r="F12" s="356">
        <v>0.25</v>
      </c>
      <c r="G12" s="1" t="s">
        <v>364</v>
      </c>
    </row>
    <row r="13" spans="1:7" ht="16">
      <c r="A13" s="44" t="s">
        <v>255</v>
      </c>
      <c r="B13" s="50" t="s">
        <v>695</v>
      </c>
      <c r="C13" s="354">
        <v>0</v>
      </c>
      <c r="D13" s="342">
        <f t="shared" si="0"/>
        <v>5.5500000000000001E-2</v>
      </c>
      <c r="E13" s="356">
        <v>0</v>
      </c>
      <c r="F13" s="356">
        <v>0.3</v>
      </c>
      <c r="G13" s="1" t="s">
        <v>362</v>
      </c>
    </row>
    <row r="14" spans="1:7" ht="16">
      <c r="A14" s="44" t="s">
        <v>256</v>
      </c>
      <c r="B14" s="50" t="s">
        <v>696</v>
      </c>
      <c r="C14" s="354">
        <v>4.4789808248265903E-3</v>
      </c>
      <c r="D14" s="342">
        <f t="shared" si="0"/>
        <v>6.1009486373884959E-2</v>
      </c>
      <c r="E14" s="356">
        <v>5.5094863738849604E-3</v>
      </c>
      <c r="F14" s="356">
        <v>0.25</v>
      </c>
      <c r="G14" s="1" t="s">
        <v>358</v>
      </c>
    </row>
    <row r="15" spans="1:7" ht="16">
      <c r="A15" s="44" t="s">
        <v>363</v>
      </c>
      <c r="B15" s="50" t="s">
        <v>697</v>
      </c>
      <c r="C15" s="354">
        <v>3.3897741242437607E-2</v>
      </c>
      <c r="D15" s="342">
        <f t="shared" si="0"/>
        <v>9.719679460235664E-2</v>
      </c>
      <c r="E15" s="356">
        <v>4.1696794602356632E-2</v>
      </c>
      <c r="F15" s="356">
        <v>0.2</v>
      </c>
      <c r="G15" s="1" t="s">
        <v>359</v>
      </c>
    </row>
    <row r="16" spans="1:7" ht="16">
      <c r="A16" s="44" t="s">
        <v>257</v>
      </c>
      <c r="B16" s="50" t="s">
        <v>698</v>
      </c>
      <c r="C16" s="354">
        <v>2.4837984574038366E-2</v>
      </c>
      <c r="D16" s="342">
        <f t="shared" si="0"/>
        <v>8.6052606255180242E-2</v>
      </c>
      <c r="E16" s="356">
        <v>3.0552606255180234E-2</v>
      </c>
      <c r="F16" s="356">
        <v>0</v>
      </c>
      <c r="G16" s="1" t="s">
        <v>364</v>
      </c>
    </row>
    <row r="17" spans="1:7" ht="16">
      <c r="A17" s="44" t="s">
        <v>258</v>
      </c>
      <c r="B17" s="50" t="s">
        <v>693</v>
      </c>
      <c r="C17" s="354">
        <v>6.2094961435095908E-2</v>
      </c>
      <c r="D17" s="342">
        <f t="shared" si="0"/>
        <v>0.13188151563795059</v>
      </c>
      <c r="E17" s="356">
        <v>7.6381515637950578E-2</v>
      </c>
      <c r="F17" s="356">
        <v>0</v>
      </c>
      <c r="G17" s="1" t="s">
        <v>365</v>
      </c>
    </row>
    <row r="18" spans="1:7" ht="16">
      <c r="A18" s="44" t="s">
        <v>259</v>
      </c>
      <c r="B18" s="50" t="s">
        <v>699</v>
      </c>
      <c r="C18" s="354">
        <v>4.0616212479677498E-2</v>
      </c>
      <c r="D18" s="342">
        <f t="shared" si="0"/>
        <v>0.10546102416318409</v>
      </c>
      <c r="E18" s="356">
        <v>4.9961024163184084E-2</v>
      </c>
      <c r="F18" s="356">
        <v>0.25</v>
      </c>
      <c r="G18" s="1" t="s">
        <v>434</v>
      </c>
    </row>
    <row r="19" spans="1:7" ht="16">
      <c r="A19" s="44" t="s">
        <v>260</v>
      </c>
      <c r="B19" s="50" t="s">
        <v>700</v>
      </c>
      <c r="C19" s="354">
        <v>0.11278888077063325</v>
      </c>
      <c r="D19" s="342">
        <f t="shared" si="0"/>
        <v>0.19423888414237583</v>
      </c>
      <c r="E19" s="356">
        <v>0.13873888414237584</v>
      </c>
      <c r="F19" s="356">
        <v>0.3</v>
      </c>
      <c r="G19" s="1" t="s">
        <v>364</v>
      </c>
    </row>
    <row r="20" spans="1:7" ht="16">
      <c r="A20" s="44" t="s">
        <v>261</v>
      </c>
      <c r="B20" s="50" t="s">
        <v>703</v>
      </c>
      <c r="C20" s="354">
        <v>7.3394208515908457E-2</v>
      </c>
      <c r="D20" s="342">
        <f t="shared" si="0"/>
        <v>0.14578044717206948</v>
      </c>
      <c r="E20" s="356">
        <v>9.028044717206947E-2</v>
      </c>
      <c r="F20" s="356">
        <v>0.18</v>
      </c>
      <c r="G20" s="1" t="s">
        <v>359</v>
      </c>
    </row>
    <row r="21" spans="1:7" ht="16">
      <c r="A21" s="44" t="s">
        <v>262</v>
      </c>
      <c r="B21" s="50" t="s">
        <v>702</v>
      </c>
      <c r="C21" s="354">
        <v>6.8202662559859444E-3</v>
      </c>
      <c r="D21" s="342">
        <f t="shared" si="0"/>
        <v>6.3889445160233913E-2</v>
      </c>
      <c r="E21" s="356">
        <v>8.389445160233917E-3</v>
      </c>
      <c r="F21" s="356">
        <v>0.28999999999999998</v>
      </c>
      <c r="G21" s="1" t="s">
        <v>358</v>
      </c>
    </row>
    <row r="22" spans="1:7" ht="16">
      <c r="A22" s="44" t="s">
        <v>366</v>
      </c>
      <c r="B22" s="50" t="s">
        <v>703</v>
      </c>
      <c r="C22" s="354">
        <v>7.3394208515908457E-2</v>
      </c>
      <c r="D22" s="342">
        <f t="shared" si="0"/>
        <v>0.14578044717206948</v>
      </c>
      <c r="E22" s="356">
        <v>9.028044717206947E-2</v>
      </c>
      <c r="F22" s="356">
        <v>0.28210000000000002</v>
      </c>
      <c r="G22" s="1" t="s">
        <v>361</v>
      </c>
    </row>
    <row r="23" spans="1:7" ht="16">
      <c r="A23" s="44" t="s">
        <v>704</v>
      </c>
      <c r="B23" s="50" t="s">
        <v>690</v>
      </c>
      <c r="C23" s="354">
        <v>5.0795714354283386E-2</v>
      </c>
      <c r="D23" s="342">
        <f t="shared" si="0"/>
        <v>0.11798258410383172</v>
      </c>
      <c r="E23" s="356">
        <v>6.2482584103831722E-2</v>
      </c>
      <c r="F23" s="356">
        <v>0.3</v>
      </c>
      <c r="G23" s="1" t="s">
        <v>360</v>
      </c>
    </row>
    <row r="24" spans="1:7" ht="16">
      <c r="A24" s="44" t="s">
        <v>263</v>
      </c>
      <c r="B24" s="50" t="s">
        <v>705</v>
      </c>
      <c r="C24" s="354">
        <v>9.5687317621295353E-3</v>
      </c>
      <c r="D24" s="342">
        <f t="shared" si="0"/>
        <v>6.7270266344208782E-2</v>
      </c>
      <c r="E24" s="356">
        <v>1.1770266344208781E-2</v>
      </c>
      <c r="F24" s="356">
        <v>0</v>
      </c>
      <c r="G24" s="1" t="s">
        <v>364</v>
      </c>
    </row>
    <row r="25" spans="1:7" ht="16">
      <c r="A25" s="44" t="s">
        <v>264</v>
      </c>
      <c r="B25" s="50" t="s">
        <v>699</v>
      </c>
      <c r="C25" s="354">
        <v>4.0616212479677498E-2</v>
      </c>
      <c r="D25" s="342">
        <f t="shared" si="0"/>
        <v>0.10546102416318409</v>
      </c>
      <c r="E25" s="356">
        <v>4.9961024163184084E-2</v>
      </c>
      <c r="F25" s="356">
        <v>0.25</v>
      </c>
      <c r="G25" s="1" t="s">
        <v>361</v>
      </c>
    </row>
    <row r="26" spans="1:7" ht="16">
      <c r="A26" s="44" t="s">
        <v>265</v>
      </c>
      <c r="B26" s="50" t="s">
        <v>703</v>
      </c>
      <c r="C26" s="354">
        <v>7.3394208515908457E-2</v>
      </c>
      <c r="D26" s="342">
        <f t="shared" si="0"/>
        <v>0.14578044717206948</v>
      </c>
      <c r="E26" s="356">
        <v>9.028044717206947E-2</v>
      </c>
      <c r="F26" s="356">
        <v>0.1</v>
      </c>
      <c r="G26" s="1" t="s">
        <v>359</v>
      </c>
    </row>
    <row r="27" spans="1:7" ht="16">
      <c r="A27" s="44" t="s">
        <v>266</v>
      </c>
      <c r="B27" s="50" t="s">
        <v>705</v>
      </c>
      <c r="C27" s="354">
        <v>9.5687317621295353E-3</v>
      </c>
      <c r="D27" s="342">
        <f t="shared" si="0"/>
        <v>6.7270266344208782E-2</v>
      </c>
      <c r="E27" s="356">
        <v>1.1770266344208781E-2</v>
      </c>
      <c r="F27" s="356">
        <v>0.22</v>
      </c>
      <c r="G27" s="1" t="s">
        <v>360</v>
      </c>
    </row>
    <row r="28" spans="1:7" ht="16">
      <c r="A28" s="44" t="s">
        <v>267</v>
      </c>
      <c r="B28" s="50" t="s">
        <v>697</v>
      </c>
      <c r="C28" s="354">
        <v>3.3897741242437607E-2</v>
      </c>
      <c r="D28" s="342">
        <f t="shared" si="0"/>
        <v>9.719679460235664E-2</v>
      </c>
      <c r="E28" s="356">
        <v>4.1696794602356632E-2</v>
      </c>
      <c r="F28" s="356">
        <v>0.34</v>
      </c>
      <c r="G28" s="1" t="s">
        <v>361</v>
      </c>
    </row>
    <row r="29" spans="1:7" ht="16">
      <c r="A29" s="355" t="s">
        <v>706</v>
      </c>
      <c r="B29" s="50" t="s">
        <v>100</v>
      </c>
      <c r="C29" s="287">
        <v>7.9400114621925883E-3</v>
      </c>
      <c r="D29" s="342">
        <f t="shared" si="0"/>
        <v>6.5266816753705159E-2</v>
      </c>
      <c r="E29" s="3">
        <v>9.7668167537051515E-3</v>
      </c>
      <c r="F29" s="287">
        <v>0.185</v>
      </c>
      <c r="G29" s="1" t="s">
        <v>434</v>
      </c>
    </row>
    <row r="30" spans="1:7" ht="16">
      <c r="A30" s="44" t="s">
        <v>268</v>
      </c>
      <c r="B30" s="50" t="s">
        <v>692</v>
      </c>
      <c r="C30" s="354">
        <v>2.147874895541842E-2</v>
      </c>
      <c r="D30" s="342">
        <f t="shared" si="0"/>
        <v>8.1920491474766516E-2</v>
      </c>
      <c r="E30" s="356">
        <v>2.6420491474766512E-2</v>
      </c>
      <c r="F30" s="356">
        <v>0.1</v>
      </c>
      <c r="G30" s="1" t="s">
        <v>359</v>
      </c>
    </row>
    <row r="31" spans="1:7" ht="16">
      <c r="A31" s="44" t="s">
        <v>488</v>
      </c>
      <c r="B31" s="50" t="s">
        <v>693</v>
      </c>
      <c r="C31" s="354">
        <v>6.2094961435095908E-2</v>
      </c>
      <c r="D31" s="342">
        <f t="shared" si="0"/>
        <v>0.13188151563795059</v>
      </c>
      <c r="E31" s="356">
        <v>7.6381515637950578E-2</v>
      </c>
      <c r="F31" s="356">
        <v>0.28000000000000003</v>
      </c>
      <c r="G31" s="1" t="s">
        <v>360</v>
      </c>
    </row>
    <row r="32" spans="1:7" ht="16">
      <c r="A32" s="44" t="s">
        <v>269</v>
      </c>
      <c r="B32" s="50" t="s">
        <v>693</v>
      </c>
      <c r="C32" s="354">
        <v>6.2094961435095908E-2</v>
      </c>
      <c r="D32" s="342">
        <f t="shared" si="0"/>
        <v>0.13188151563795059</v>
      </c>
      <c r="E32" s="356">
        <v>7.6381515637950578E-2</v>
      </c>
      <c r="F32" s="356">
        <v>0.2</v>
      </c>
      <c r="G32" s="1" t="s">
        <v>434</v>
      </c>
    </row>
    <row r="33" spans="1:7" ht="16">
      <c r="A33" s="44" t="s">
        <v>489</v>
      </c>
      <c r="B33" s="50" t="s">
        <v>693</v>
      </c>
      <c r="C33" s="354">
        <v>6.2094961435095908E-2</v>
      </c>
      <c r="D33" s="342">
        <f t="shared" si="0"/>
        <v>0.13188151563795059</v>
      </c>
      <c r="E33" s="356">
        <v>7.6381515637950578E-2</v>
      </c>
      <c r="F33" s="356">
        <v>0.33</v>
      </c>
      <c r="G33" s="1" t="s">
        <v>360</v>
      </c>
    </row>
    <row r="34" spans="1:7" ht="16">
      <c r="A34" s="44" t="s">
        <v>270</v>
      </c>
      <c r="B34" s="50" t="s">
        <v>695</v>
      </c>
      <c r="C34" s="354">
        <v>0</v>
      </c>
      <c r="D34" s="342">
        <f t="shared" si="0"/>
        <v>5.5500000000000001E-2</v>
      </c>
      <c r="E34" s="356">
        <v>0</v>
      </c>
      <c r="F34" s="356">
        <v>0.26500000000000001</v>
      </c>
      <c r="G34" s="1" t="s">
        <v>367</v>
      </c>
    </row>
    <row r="35" spans="1:7" ht="16">
      <c r="A35" s="44" t="s">
        <v>490</v>
      </c>
      <c r="B35" s="50" t="s">
        <v>693</v>
      </c>
      <c r="C35" s="354">
        <v>6.2094961435095908E-2</v>
      </c>
      <c r="D35" s="342">
        <f t="shared" si="0"/>
        <v>0.13188151563795059</v>
      </c>
      <c r="E35" s="356">
        <v>7.6381515637950578E-2</v>
      </c>
      <c r="F35" s="356">
        <v>0.28000000000000003</v>
      </c>
      <c r="G35" s="1" t="s">
        <v>360</v>
      </c>
    </row>
    <row r="36" spans="1:7" ht="16">
      <c r="A36" s="44" t="s">
        <v>271</v>
      </c>
      <c r="B36" s="50" t="s">
        <v>702</v>
      </c>
      <c r="C36" s="354">
        <v>6.8202662559859444E-3</v>
      </c>
      <c r="D36" s="342">
        <f t="shared" si="0"/>
        <v>6.3889445160233913E-2</v>
      </c>
      <c r="E36" s="356">
        <v>8.389445160233917E-3</v>
      </c>
      <c r="F36" s="356">
        <v>0</v>
      </c>
      <c r="G36" s="1" t="s">
        <v>364</v>
      </c>
    </row>
    <row r="37" spans="1:7" ht="16">
      <c r="A37" s="44" t="s">
        <v>272</v>
      </c>
      <c r="B37" s="50" t="s">
        <v>707</v>
      </c>
      <c r="C37" s="354">
        <v>7.9400114621925918E-3</v>
      </c>
      <c r="D37" s="342">
        <f t="shared" si="0"/>
        <v>6.5266816753705159E-2</v>
      </c>
      <c r="E37" s="356">
        <v>9.7668167537051567E-3</v>
      </c>
      <c r="F37" s="356">
        <v>0.26</v>
      </c>
      <c r="G37" s="1" t="s">
        <v>361</v>
      </c>
    </row>
    <row r="38" spans="1:7" ht="16">
      <c r="A38" s="44" t="s">
        <v>273</v>
      </c>
      <c r="B38" s="50" t="s">
        <v>707</v>
      </c>
      <c r="C38" s="354">
        <v>7.9400114621925918E-3</v>
      </c>
      <c r="D38" s="342">
        <f t="shared" si="0"/>
        <v>6.5266816753705159E-2</v>
      </c>
      <c r="E38" s="356">
        <v>9.7668167537051567E-3</v>
      </c>
      <c r="F38" s="356">
        <v>0.25</v>
      </c>
      <c r="G38" s="1" t="s">
        <v>434</v>
      </c>
    </row>
    <row r="39" spans="1:7" ht="16">
      <c r="A39" s="44" t="s">
        <v>274</v>
      </c>
      <c r="B39" s="50" t="s">
        <v>692</v>
      </c>
      <c r="C39" s="354">
        <v>2.147874895541842E-2</v>
      </c>
      <c r="D39" s="342">
        <f t="shared" si="0"/>
        <v>8.1920491474766516E-2</v>
      </c>
      <c r="E39" s="356">
        <v>2.6420491474766512E-2</v>
      </c>
      <c r="F39" s="356">
        <v>0.33</v>
      </c>
      <c r="G39" s="1" t="s">
        <v>361</v>
      </c>
    </row>
    <row r="40" spans="1:7" ht="16">
      <c r="A40" s="44" t="s">
        <v>507</v>
      </c>
      <c r="B40" s="50" t="s">
        <v>703</v>
      </c>
      <c r="C40" s="354">
        <v>7.3394208515908457E-2</v>
      </c>
      <c r="D40" s="342">
        <f t="shared" si="0"/>
        <v>0.14578044717206948</v>
      </c>
      <c r="E40" s="356">
        <v>9.028044717206947E-2</v>
      </c>
      <c r="F40" s="356">
        <v>0.35</v>
      </c>
      <c r="G40" s="1" t="s">
        <v>360</v>
      </c>
    </row>
    <row r="41" spans="1:7" ht="16">
      <c r="A41" s="44" t="s">
        <v>508</v>
      </c>
      <c r="B41" s="50" t="s">
        <v>708</v>
      </c>
      <c r="C41" s="354">
        <v>0.10159142870856677</v>
      </c>
      <c r="D41" s="342">
        <f t="shared" si="0"/>
        <v>0.18046516820766345</v>
      </c>
      <c r="E41" s="356">
        <v>0.12496516820766344</v>
      </c>
      <c r="F41" s="356">
        <v>0.28000000000000003</v>
      </c>
      <c r="G41" s="1" t="s">
        <v>360</v>
      </c>
    </row>
    <row r="42" spans="1:7" ht="16">
      <c r="A42" s="44" t="s">
        <v>491</v>
      </c>
      <c r="B42" s="50" t="s">
        <v>690</v>
      </c>
      <c r="C42" s="354">
        <v>5.0795714354283386E-2</v>
      </c>
      <c r="D42" s="342">
        <f t="shared" si="0"/>
        <v>0.11798258410383172</v>
      </c>
      <c r="E42" s="356">
        <v>6.2482584103831722E-2</v>
      </c>
      <c r="F42" s="356">
        <v>0</v>
      </c>
      <c r="G42" s="1" t="s">
        <v>362</v>
      </c>
    </row>
    <row r="43" spans="1:7" ht="16">
      <c r="A43" s="44" t="s">
        <v>275</v>
      </c>
      <c r="B43" s="50" t="s">
        <v>690</v>
      </c>
      <c r="C43" s="354">
        <v>5.0795714354283386E-2</v>
      </c>
      <c r="D43" s="342">
        <f t="shared" si="0"/>
        <v>0.11798258410383172</v>
      </c>
      <c r="E43" s="356">
        <v>6.2482584103831722E-2</v>
      </c>
      <c r="F43" s="356">
        <v>0.3</v>
      </c>
      <c r="G43" s="1" t="s">
        <v>361</v>
      </c>
    </row>
    <row r="44" spans="1:7" ht="16">
      <c r="A44" s="44" t="s">
        <v>746</v>
      </c>
      <c r="B44" s="50" t="s">
        <v>699</v>
      </c>
      <c r="C44" s="354">
        <v>4.0616212479677498E-2</v>
      </c>
      <c r="D44" s="342">
        <f t="shared" si="0"/>
        <v>0.10546102416318409</v>
      </c>
      <c r="E44" s="356">
        <v>4.9961024163184084E-2</v>
      </c>
      <c r="F44" s="356">
        <v>0.25</v>
      </c>
      <c r="G44" s="1" t="s">
        <v>360</v>
      </c>
    </row>
    <row r="45" spans="1:7" ht="16">
      <c r="A45" s="44" t="s">
        <v>276</v>
      </c>
      <c r="B45" s="50" t="s">
        <v>697</v>
      </c>
      <c r="C45" s="354">
        <v>3.3897741242437607E-2</v>
      </c>
      <c r="D45" s="342">
        <f t="shared" si="0"/>
        <v>9.719679460235664E-2</v>
      </c>
      <c r="E45" s="356">
        <v>4.1696794602356632E-2</v>
      </c>
      <c r="F45" s="356">
        <v>0.18</v>
      </c>
      <c r="G45" s="1" t="s">
        <v>359</v>
      </c>
    </row>
    <row r="46" spans="1:7" ht="16">
      <c r="A46" s="44" t="s">
        <v>368</v>
      </c>
      <c r="B46" s="50" t="s">
        <v>708</v>
      </c>
      <c r="C46" s="354">
        <v>0.10159142870856677</v>
      </c>
      <c r="D46" s="342">
        <f t="shared" si="0"/>
        <v>0.18046516820766345</v>
      </c>
      <c r="E46" s="356">
        <v>0.12496516820766344</v>
      </c>
      <c r="F46" s="356">
        <v>0.24</v>
      </c>
      <c r="G46" s="1" t="s">
        <v>364</v>
      </c>
    </row>
    <row r="47" spans="1:7" ht="16">
      <c r="A47" s="44" t="s">
        <v>747</v>
      </c>
      <c r="B47" s="50" t="s">
        <v>709</v>
      </c>
      <c r="C47" s="354">
        <v>1.3538737493225832E-2</v>
      </c>
      <c r="D47" s="342">
        <f t="shared" si="0"/>
        <v>7.2153674721061364E-2</v>
      </c>
      <c r="E47" s="356">
        <v>1.665367472106136E-2</v>
      </c>
      <c r="F47" s="356">
        <v>0.22</v>
      </c>
      <c r="G47" s="1" t="s">
        <v>364</v>
      </c>
    </row>
    <row r="48" spans="1:7" ht="16">
      <c r="A48" s="44" t="s">
        <v>277</v>
      </c>
      <c r="B48" s="50" t="s">
        <v>697</v>
      </c>
      <c r="C48" s="354">
        <v>3.3897741242437607E-2</v>
      </c>
      <c r="D48" s="342">
        <f t="shared" si="0"/>
        <v>9.719679460235664E-2</v>
      </c>
      <c r="E48" s="356">
        <v>4.1696794602356632E-2</v>
      </c>
      <c r="F48" s="356">
        <v>0.125</v>
      </c>
      <c r="G48" s="1" t="s">
        <v>358</v>
      </c>
    </row>
    <row r="49" spans="1:7" ht="16">
      <c r="A49" s="44" t="s">
        <v>278</v>
      </c>
      <c r="B49" s="50" t="s">
        <v>707</v>
      </c>
      <c r="C49" s="354">
        <v>7.9400114621925918E-3</v>
      </c>
      <c r="D49" s="342">
        <f t="shared" si="0"/>
        <v>6.5266816753705159E-2</v>
      </c>
      <c r="E49" s="356">
        <v>9.7668167537051567E-3</v>
      </c>
      <c r="F49" s="356">
        <v>0.19</v>
      </c>
      <c r="G49" s="1" t="s">
        <v>359</v>
      </c>
    </row>
    <row r="50" spans="1:7" ht="16">
      <c r="A50" s="44" t="s">
        <v>279</v>
      </c>
      <c r="B50" s="50" t="s">
        <v>695</v>
      </c>
      <c r="C50" s="354">
        <v>0</v>
      </c>
      <c r="D50" s="342">
        <f t="shared" si="0"/>
        <v>5.5500000000000001E-2</v>
      </c>
      <c r="E50" s="356">
        <v>0</v>
      </c>
      <c r="F50" s="356">
        <v>0.22</v>
      </c>
      <c r="G50" s="1" t="s">
        <v>358</v>
      </c>
    </row>
    <row r="51" spans="1:7" ht="16">
      <c r="A51" s="44" t="s">
        <v>280</v>
      </c>
      <c r="B51" s="50" t="s">
        <v>699</v>
      </c>
      <c r="C51" s="354">
        <v>4.0616212479677498E-2</v>
      </c>
      <c r="D51" s="342">
        <f t="shared" si="0"/>
        <v>0.10546102416318409</v>
      </c>
      <c r="E51" s="356">
        <v>4.9961024163184084E-2</v>
      </c>
      <c r="F51" s="356">
        <v>0.27</v>
      </c>
      <c r="G51" s="1" t="s">
        <v>364</v>
      </c>
    </row>
    <row r="52" spans="1:7" ht="16">
      <c r="A52" s="44" t="s">
        <v>281</v>
      </c>
      <c r="B52" s="50" t="s">
        <v>703</v>
      </c>
      <c r="C52" s="354">
        <v>7.3394208515908457E-2</v>
      </c>
      <c r="D52" s="342">
        <f t="shared" si="0"/>
        <v>0.14578044717206948</v>
      </c>
      <c r="E52" s="356">
        <v>9.028044717206947E-2</v>
      </c>
      <c r="F52" s="356">
        <v>0.25</v>
      </c>
      <c r="G52" s="1" t="s">
        <v>361</v>
      </c>
    </row>
    <row r="53" spans="1:7" ht="16">
      <c r="A53" s="44" t="s">
        <v>282</v>
      </c>
      <c r="B53" s="50" t="s">
        <v>703</v>
      </c>
      <c r="C53" s="354">
        <v>7.3394208515908457E-2</v>
      </c>
      <c r="D53" s="342">
        <f t="shared" si="0"/>
        <v>0.14578044717206948</v>
      </c>
      <c r="E53" s="356">
        <v>9.028044717206947E-2</v>
      </c>
      <c r="F53" s="356">
        <v>0.23</v>
      </c>
      <c r="G53" s="1" t="s">
        <v>360</v>
      </c>
    </row>
    <row r="54" spans="1:7" ht="16">
      <c r="A54" s="44" t="s">
        <v>369</v>
      </c>
      <c r="B54" s="50" t="s">
        <v>701</v>
      </c>
      <c r="C54" s="354">
        <v>8.4591660577974931E-2</v>
      </c>
      <c r="D54" s="342">
        <f t="shared" si="0"/>
        <v>0.15955416310678189</v>
      </c>
      <c r="E54" s="356">
        <v>0.10405416310678188</v>
      </c>
      <c r="F54" s="356">
        <v>0.3</v>
      </c>
      <c r="G54" s="1" t="s">
        <v>361</v>
      </c>
    </row>
    <row r="55" spans="1:7" ht="16">
      <c r="A55" s="44" t="s">
        <v>283</v>
      </c>
      <c r="B55" s="50" t="s">
        <v>707</v>
      </c>
      <c r="C55" s="354">
        <v>7.9400114621925918E-3</v>
      </c>
      <c r="D55" s="342">
        <f t="shared" si="0"/>
        <v>6.5266816753705159E-2</v>
      </c>
      <c r="E55" s="356">
        <v>9.7668167537051567E-3</v>
      </c>
      <c r="F55" s="356">
        <v>0.2</v>
      </c>
      <c r="G55" s="1" t="s">
        <v>359</v>
      </c>
    </row>
    <row r="56" spans="1:7" ht="16">
      <c r="A56" s="44" t="s">
        <v>509</v>
      </c>
      <c r="B56" s="50" t="s">
        <v>690</v>
      </c>
      <c r="C56" s="354">
        <v>5.0795714354283386E-2</v>
      </c>
      <c r="D56" s="342">
        <f t="shared" si="0"/>
        <v>0.11798258410383172</v>
      </c>
      <c r="E56" s="356">
        <v>6.2482584103831722E-2</v>
      </c>
      <c r="F56" s="356">
        <v>0.3</v>
      </c>
      <c r="G56" s="1" t="s">
        <v>360</v>
      </c>
    </row>
    <row r="57" spans="1:7" ht="16">
      <c r="A57" s="44" t="s">
        <v>284</v>
      </c>
      <c r="B57" s="50" t="s">
        <v>699</v>
      </c>
      <c r="C57" s="354">
        <v>4.0616212479677498E-2</v>
      </c>
      <c r="D57" s="342">
        <f t="shared" si="0"/>
        <v>0.10546102416318409</v>
      </c>
      <c r="E57" s="356">
        <v>4.9961024163184084E-2</v>
      </c>
      <c r="F57" s="356">
        <v>0.2</v>
      </c>
      <c r="G57" s="1" t="s">
        <v>434</v>
      </c>
    </row>
    <row r="58" spans="1:7" ht="16">
      <c r="A58" s="44" t="s">
        <v>285</v>
      </c>
      <c r="B58" s="50" t="s">
        <v>696</v>
      </c>
      <c r="C58" s="354">
        <v>4.4789808248265903E-3</v>
      </c>
      <c r="D58" s="342">
        <f t="shared" si="0"/>
        <v>6.1009486373884959E-2</v>
      </c>
      <c r="E58" s="356">
        <v>5.5094863738849604E-3</v>
      </c>
      <c r="F58" s="356">
        <v>0.2</v>
      </c>
      <c r="G58" s="1" t="s">
        <v>358</v>
      </c>
    </row>
    <row r="59" spans="1:7" ht="16">
      <c r="A59" s="44" t="s">
        <v>286</v>
      </c>
      <c r="B59" s="50" t="s">
        <v>689</v>
      </c>
      <c r="C59" s="354">
        <v>5.5987260310332385E-3</v>
      </c>
      <c r="D59" s="342">
        <f t="shared" si="0"/>
        <v>6.2386857967356199E-2</v>
      </c>
      <c r="E59" s="356">
        <v>6.8868579673562009E-3</v>
      </c>
      <c r="F59" s="356">
        <v>0.33</v>
      </c>
      <c r="G59" s="1" t="s">
        <v>358</v>
      </c>
    </row>
    <row r="60" spans="1:7" ht="16">
      <c r="A60" s="44" t="s">
        <v>492</v>
      </c>
      <c r="B60" s="50" t="s">
        <v>701</v>
      </c>
      <c r="C60" s="354">
        <v>8.4591660577974931E-2</v>
      </c>
      <c r="D60" s="342">
        <f t="shared" si="0"/>
        <v>0.15955416310678189</v>
      </c>
      <c r="E60" s="356">
        <v>0.10405416310678188</v>
      </c>
      <c r="F60" s="356">
        <v>0.3</v>
      </c>
      <c r="G60" s="1" t="s">
        <v>360</v>
      </c>
    </row>
    <row r="61" spans="1:7" ht="16">
      <c r="A61" s="355" t="s">
        <v>710</v>
      </c>
      <c r="B61" s="50" t="s">
        <v>100</v>
      </c>
      <c r="C61" s="287">
        <v>7.3394208515908457E-2</v>
      </c>
      <c r="D61" s="342">
        <f t="shared" si="0"/>
        <v>0.14578044717206948</v>
      </c>
      <c r="E61" s="3">
        <v>9.028044717206947E-2</v>
      </c>
      <c r="F61" s="287">
        <v>0.31</v>
      </c>
      <c r="G61" s="1" t="s">
        <v>360</v>
      </c>
    </row>
    <row r="62" spans="1:7" ht="16">
      <c r="A62" s="44" t="s">
        <v>370</v>
      </c>
      <c r="B62" s="50" t="s">
        <v>697</v>
      </c>
      <c r="C62" s="354">
        <v>3.3897741242437607E-2</v>
      </c>
      <c r="D62" s="342">
        <f t="shared" si="0"/>
        <v>9.719679460235664E-2</v>
      </c>
      <c r="E62" s="356">
        <v>4.1696794602356632E-2</v>
      </c>
      <c r="F62" s="356">
        <v>0.31</v>
      </c>
      <c r="G62" s="1" t="s">
        <v>359</v>
      </c>
    </row>
    <row r="63" spans="1:7" ht="16">
      <c r="A63" s="44" t="s">
        <v>287</v>
      </c>
      <c r="B63" s="50" t="s">
        <v>695</v>
      </c>
      <c r="C63" s="354">
        <v>0</v>
      </c>
      <c r="D63" s="342">
        <f t="shared" si="0"/>
        <v>5.5500000000000001E-2</v>
      </c>
      <c r="E63" s="356">
        <v>0</v>
      </c>
      <c r="F63" s="356">
        <v>0.15</v>
      </c>
      <c r="G63" s="1" t="s">
        <v>358</v>
      </c>
    </row>
    <row r="64" spans="1:7" ht="16">
      <c r="A64" s="44" t="s">
        <v>493</v>
      </c>
      <c r="B64" s="50" t="s">
        <v>703</v>
      </c>
      <c r="C64" s="354">
        <v>7.3394208515908457E-2</v>
      </c>
      <c r="D64" s="342">
        <f t="shared" si="0"/>
        <v>0.14578044717206948</v>
      </c>
      <c r="E64" s="356">
        <v>9.028044717206947E-2</v>
      </c>
      <c r="F64" s="356">
        <v>0.25</v>
      </c>
      <c r="G64" s="1" t="s">
        <v>360</v>
      </c>
    </row>
    <row r="65" spans="1:7" ht="16">
      <c r="A65" s="44" t="s">
        <v>288</v>
      </c>
      <c r="B65" s="50" t="s">
        <v>703</v>
      </c>
      <c r="C65" s="354">
        <v>7.3394208515908457E-2</v>
      </c>
      <c r="D65" s="342">
        <f t="shared" si="0"/>
        <v>0.14578044717206948</v>
      </c>
      <c r="E65" s="356">
        <v>9.028044717206947E-2</v>
      </c>
      <c r="F65" s="356">
        <v>0.28999999999999998</v>
      </c>
      <c r="G65" s="1" t="s">
        <v>358</v>
      </c>
    </row>
    <row r="66" spans="1:7" ht="16">
      <c r="A66" s="44" t="s">
        <v>289</v>
      </c>
      <c r="B66" s="50" t="s">
        <v>711</v>
      </c>
      <c r="C66" s="354">
        <v>2.8197220192658311E-2</v>
      </c>
      <c r="D66" s="342">
        <f t="shared" si="0"/>
        <v>9.0184721035593968E-2</v>
      </c>
      <c r="E66" s="356">
        <v>3.468472103559396E-2</v>
      </c>
      <c r="F66" s="356">
        <v>0.25</v>
      </c>
      <c r="G66" s="1" t="s">
        <v>361</v>
      </c>
    </row>
    <row r="67" spans="1:7" ht="16">
      <c r="A67" s="44" t="s">
        <v>510</v>
      </c>
      <c r="B67" s="50" t="s">
        <v>702</v>
      </c>
      <c r="C67" s="354">
        <v>6.8202662559859444E-3</v>
      </c>
      <c r="D67" s="342">
        <f t="shared" si="0"/>
        <v>6.3889445160233913E-2</v>
      </c>
      <c r="E67" s="356">
        <v>8.389445160233917E-3</v>
      </c>
      <c r="F67" s="356">
        <v>0</v>
      </c>
      <c r="G67" s="1" t="s">
        <v>358</v>
      </c>
    </row>
    <row r="68" spans="1:7" ht="16">
      <c r="A68" s="355" t="s">
        <v>712</v>
      </c>
      <c r="B68" s="50" t="s">
        <v>100</v>
      </c>
      <c r="C68" s="287">
        <v>0.1353873749322583</v>
      </c>
      <c r="D68" s="342">
        <f t="shared" si="0"/>
        <v>0.22203674721061356</v>
      </c>
      <c r="E68" s="3">
        <v>0.16653674721061357</v>
      </c>
      <c r="F68" s="287">
        <v>0.29149999999999998</v>
      </c>
      <c r="G68" s="1" t="s">
        <v>360</v>
      </c>
    </row>
    <row r="69" spans="1:7" ht="16">
      <c r="A69" s="355" t="s">
        <v>713</v>
      </c>
      <c r="B69" s="50" t="s">
        <v>100</v>
      </c>
      <c r="C69" s="287">
        <v>8.4591660577974931E-2</v>
      </c>
      <c r="D69" s="342">
        <f t="shared" si="0"/>
        <v>0.15955416310678189</v>
      </c>
      <c r="E69" s="3">
        <v>0.10405416310678188</v>
      </c>
      <c r="F69" s="287">
        <v>0.29149999999999998</v>
      </c>
      <c r="G69" s="1" t="s">
        <v>360</v>
      </c>
    </row>
    <row r="70" spans="1:7" ht="16">
      <c r="A70" s="355" t="s">
        <v>714</v>
      </c>
      <c r="B70" s="50" t="s">
        <v>100</v>
      </c>
      <c r="C70" s="287">
        <v>5.0795714354283379E-2</v>
      </c>
      <c r="D70" s="342">
        <f t="shared" ref="D70:D133" si="1">$D$173+E70</f>
        <v>0.11798258410383172</v>
      </c>
      <c r="E70" s="3">
        <v>6.2482584103831715E-2</v>
      </c>
      <c r="F70" s="287">
        <v>0.18640000000000001</v>
      </c>
      <c r="G70" s="1" t="s">
        <v>361</v>
      </c>
    </row>
    <row r="71" spans="1:7" ht="16">
      <c r="A71" s="355" t="s">
        <v>715</v>
      </c>
      <c r="B71" s="50" t="s">
        <v>100</v>
      </c>
      <c r="C71" s="287">
        <v>0.10159142870856677</v>
      </c>
      <c r="D71" s="342">
        <f t="shared" si="1"/>
        <v>0.18046516820766345</v>
      </c>
      <c r="E71" s="3">
        <v>0.12496516820766344</v>
      </c>
      <c r="F71" s="287">
        <v>0.18640000000000001</v>
      </c>
      <c r="G71" s="1" t="s">
        <v>364</v>
      </c>
    </row>
    <row r="72" spans="1:7" ht="16">
      <c r="A72" s="44" t="s">
        <v>290</v>
      </c>
      <c r="B72" s="50" t="s">
        <v>690</v>
      </c>
      <c r="C72" s="354">
        <v>5.0795714354283386E-2</v>
      </c>
      <c r="D72" s="342">
        <f t="shared" si="1"/>
        <v>0.11798258410383172</v>
      </c>
      <c r="E72" s="356">
        <v>6.2482584103831722E-2</v>
      </c>
      <c r="F72" s="356">
        <v>0.25</v>
      </c>
      <c r="G72" s="1" t="s">
        <v>361</v>
      </c>
    </row>
    <row r="73" spans="1:7" ht="16">
      <c r="A73" s="44" t="s">
        <v>291</v>
      </c>
      <c r="B73" s="50" t="s">
        <v>689</v>
      </c>
      <c r="C73" s="354">
        <v>5.5987260310332385E-3</v>
      </c>
      <c r="D73" s="342">
        <f t="shared" si="1"/>
        <v>6.2386857967356199E-2</v>
      </c>
      <c r="E73" s="356">
        <v>6.8868579673562009E-3</v>
      </c>
      <c r="F73" s="356">
        <v>0.16500000000000001</v>
      </c>
      <c r="G73" s="1" t="s">
        <v>434</v>
      </c>
    </row>
    <row r="74" spans="1:7" ht="16">
      <c r="A74" s="44" t="s">
        <v>292</v>
      </c>
      <c r="B74" s="50" t="s">
        <v>698</v>
      </c>
      <c r="C74" s="354">
        <v>2.4837984574038366E-2</v>
      </c>
      <c r="D74" s="342">
        <f t="shared" si="1"/>
        <v>8.6052606255180242E-2</v>
      </c>
      <c r="E74" s="356">
        <v>3.0552606255180234E-2</v>
      </c>
      <c r="F74" s="356">
        <v>0.09</v>
      </c>
      <c r="G74" s="1" t="s">
        <v>359</v>
      </c>
    </row>
    <row r="75" spans="1:7" ht="16">
      <c r="A75" s="44" t="s">
        <v>293</v>
      </c>
      <c r="B75" s="50" t="s">
        <v>709</v>
      </c>
      <c r="C75" s="354">
        <v>1.3538737493225832E-2</v>
      </c>
      <c r="D75" s="342">
        <f t="shared" si="1"/>
        <v>7.2153674721061364E-2</v>
      </c>
      <c r="E75" s="356">
        <v>1.665367472106136E-2</v>
      </c>
      <c r="F75" s="356">
        <v>0.2</v>
      </c>
      <c r="G75" s="1" t="s">
        <v>358</v>
      </c>
    </row>
    <row r="76" spans="1:7" ht="16">
      <c r="A76" s="44" t="s">
        <v>294</v>
      </c>
      <c r="B76" s="50" t="s">
        <v>692</v>
      </c>
      <c r="C76" s="354">
        <v>2.147874895541842E-2</v>
      </c>
      <c r="D76" s="342">
        <f t="shared" si="1"/>
        <v>8.1920491474766516E-2</v>
      </c>
      <c r="E76" s="356">
        <v>2.6420491474766512E-2</v>
      </c>
      <c r="F76" s="356">
        <v>0.35</v>
      </c>
      <c r="G76" s="1" t="s">
        <v>434</v>
      </c>
    </row>
    <row r="77" spans="1:7" ht="16">
      <c r="A77" s="44" t="s">
        <v>295</v>
      </c>
      <c r="B77" s="50" t="s">
        <v>692</v>
      </c>
      <c r="C77" s="354">
        <v>2.147874895541842E-2</v>
      </c>
      <c r="D77" s="342">
        <f t="shared" si="1"/>
        <v>8.1920491474766516E-2</v>
      </c>
      <c r="E77" s="356">
        <v>2.6420491474766512E-2</v>
      </c>
      <c r="F77" s="356">
        <v>0.25</v>
      </c>
      <c r="G77" s="1" t="s">
        <v>434</v>
      </c>
    </row>
    <row r="78" spans="1:7" ht="16">
      <c r="A78" s="355" t="s">
        <v>716</v>
      </c>
      <c r="B78" s="50" t="s">
        <v>100</v>
      </c>
      <c r="C78" s="287">
        <v>3.3897741242437607E-2</v>
      </c>
      <c r="D78" s="342">
        <f t="shared" si="1"/>
        <v>9.719679460235664E-2</v>
      </c>
      <c r="E78" s="3">
        <v>4.1696794602356632E-2</v>
      </c>
      <c r="F78" s="287">
        <v>0.20230000000000001</v>
      </c>
      <c r="G78" s="1" t="s">
        <v>365</v>
      </c>
    </row>
    <row r="79" spans="1:7" ht="16">
      <c r="A79" s="44" t="s">
        <v>662</v>
      </c>
      <c r="B79" s="50" t="s">
        <v>701</v>
      </c>
      <c r="C79" s="354">
        <v>8.4591660577974931E-2</v>
      </c>
      <c r="D79" s="342">
        <f t="shared" si="1"/>
        <v>0.15955416310678189</v>
      </c>
      <c r="E79" s="356">
        <v>0.10405416310678188</v>
      </c>
      <c r="F79" s="356">
        <v>0.15</v>
      </c>
      <c r="G79" s="1" t="s">
        <v>365</v>
      </c>
    </row>
    <row r="80" spans="1:7" ht="16">
      <c r="A80" s="44" t="s">
        <v>296</v>
      </c>
      <c r="B80" s="50" t="s">
        <v>705</v>
      </c>
      <c r="C80" s="354">
        <v>9.5687317621295353E-3</v>
      </c>
      <c r="D80" s="342">
        <f t="shared" si="1"/>
        <v>6.7270266344208782E-2</v>
      </c>
      <c r="E80" s="356">
        <v>1.1770266344208781E-2</v>
      </c>
      <c r="F80" s="356">
        <v>0.125</v>
      </c>
      <c r="G80" s="1" t="s">
        <v>358</v>
      </c>
    </row>
    <row r="81" spans="1:7" ht="16">
      <c r="A81" s="44" t="s">
        <v>297</v>
      </c>
      <c r="B81" s="50" t="s">
        <v>689</v>
      </c>
      <c r="C81" s="354">
        <v>5.5987260310332385E-3</v>
      </c>
      <c r="D81" s="342">
        <f t="shared" si="1"/>
        <v>6.2386857967356199E-2</v>
      </c>
      <c r="E81" s="356">
        <v>6.8868579673562009E-3</v>
      </c>
      <c r="F81" s="356">
        <v>0</v>
      </c>
      <c r="G81" s="1" t="s">
        <v>358</v>
      </c>
    </row>
    <row r="82" spans="1:7" ht="16">
      <c r="A82" s="44" t="s">
        <v>298</v>
      </c>
      <c r="B82" s="50" t="s">
        <v>707</v>
      </c>
      <c r="C82" s="354">
        <v>7.9400114621925918E-3</v>
      </c>
      <c r="D82" s="342">
        <f t="shared" si="1"/>
        <v>6.5266816753705159E-2</v>
      </c>
      <c r="E82" s="356">
        <v>9.7668167537051567E-3</v>
      </c>
      <c r="F82" s="356">
        <v>0.23</v>
      </c>
      <c r="G82" s="1" t="s">
        <v>365</v>
      </c>
    </row>
    <row r="83" spans="1:7" ht="16">
      <c r="A83" s="44" t="s">
        <v>299</v>
      </c>
      <c r="B83" s="50" t="s">
        <v>698</v>
      </c>
      <c r="C83" s="354">
        <v>2.4837984574038366E-2</v>
      </c>
      <c r="D83" s="342">
        <f t="shared" si="1"/>
        <v>8.6052606255180242E-2</v>
      </c>
      <c r="E83" s="356">
        <v>3.0552606255180234E-2</v>
      </c>
      <c r="F83" s="356">
        <v>0.24</v>
      </c>
      <c r="G83" s="1" t="s">
        <v>358</v>
      </c>
    </row>
    <row r="84" spans="1:7" ht="16">
      <c r="A84" s="44" t="s">
        <v>300</v>
      </c>
      <c r="B84" s="50" t="s">
        <v>703</v>
      </c>
      <c r="C84" s="354">
        <v>7.3394208515908457E-2</v>
      </c>
      <c r="D84" s="342">
        <f t="shared" si="1"/>
        <v>0.14578044717206948</v>
      </c>
      <c r="E84" s="356">
        <v>9.028044717206947E-2</v>
      </c>
      <c r="F84" s="356">
        <v>0.25</v>
      </c>
      <c r="G84" s="1" t="s">
        <v>364</v>
      </c>
    </row>
    <row r="85" spans="1:7" ht="16">
      <c r="A85" s="44" t="s">
        <v>301</v>
      </c>
      <c r="B85" s="50" t="s">
        <v>707</v>
      </c>
      <c r="C85" s="354">
        <v>7.9400114621925918E-3</v>
      </c>
      <c r="D85" s="342">
        <f t="shared" si="1"/>
        <v>6.5266816753705159E-2</v>
      </c>
      <c r="E85" s="356">
        <v>9.7668167537051567E-3</v>
      </c>
      <c r="F85" s="356">
        <v>0.30859999999999999</v>
      </c>
      <c r="G85" s="1" t="s">
        <v>434</v>
      </c>
    </row>
    <row r="86" spans="1:7" ht="16">
      <c r="A86" s="44" t="s">
        <v>511</v>
      </c>
      <c r="B86" s="50" t="s">
        <v>702</v>
      </c>
      <c r="C86" s="354">
        <v>6.8202662559859444E-3</v>
      </c>
      <c r="D86" s="342">
        <f t="shared" si="1"/>
        <v>6.3889445160233913E-2</v>
      </c>
      <c r="E86" s="356">
        <v>8.389445160233917E-3</v>
      </c>
      <c r="F86" s="356">
        <v>0.2</v>
      </c>
      <c r="G86" s="1" t="s">
        <v>358</v>
      </c>
    </row>
    <row r="87" spans="1:7" ht="16">
      <c r="A87" s="44" t="s">
        <v>302</v>
      </c>
      <c r="B87" s="50" t="s">
        <v>690</v>
      </c>
      <c r="C87" s="354">
        <v>5.0795714354283386E-2</v>
      </c>
      <c r="D87" s="342">
        <f t="shared" si="1"/>
        <v>0.11798258410383172</v>
      </c>
      <c r="E87" s="356">
        <v>6.2482584103831722E-2</v>
      </c>
      <c r="F87" s="356">
        <v>0.2</v>
      </c>
      <c r="G87" s="1" t="s">
        <v>365</v>
      </c>
    </row>
    <row r="88" spans="1:7" ht="16">
      <c r="A88" s="44" t="s">
        <v>303</v>
      </c>
      <c r="B88" s="50" t="s">
        <v>698</v>
      </c>
      <c r="C88" s="354">
        <v>2.4837984574038366E-2</v>
      </c>
      <c r="D88" s="342">
        <f t="shared" si="1"/>
        <v>8.6052606255180242E-2</v>
      </c>
      <c r="E88" s="356">
        <v>3.0552606255180234E-2</v>
      </c>
      <c r="F88" s="356">
        <v>0.2</v>
      </c>
      <c r="G88" s="1" t="s">
        <v>359</v>
      </c>
    </row>
    <row r="89" spans="1:7" ht="16">
      <c r="A89" s="44" t="s">
        <v>435</v>
      </c>
      <c r="B89" s="50" t="s">
        <v>693</v>
      </c>
      <c r="C89" s="354">
        <v>6.2094961435095908E-2</v>
      </c>
      <c r="D89" s="342">
        <f t="shared" si="1"/>
        <v>0.13188151563795059</v>
      </c>
      <c r="E89" s="356">
        <v>7.6381515637950578E-2</v>
      </c>
      <c r="F89" s="356">
        <v>0.3</v>
      </c>
      <c r="G89" s="1" t="s">
        <v>360</v>
      </c>
    </row>
    <row r="90" spans="1:7" ht="16">
      <c r="A90" s="44" t="s">
        <v>499</v>
      </c>
      <c r="B90" s="50" t="s">
        <v>689</v>
      </c>
      <c r="C90" s="354">
        <v>5.5987260310332385E-3</v>
      </c>
      <c r="D90" s="342">
        <f t="shared" si="1"/>
        <v>6.2386857967356199E-2</v>
      </c>
      <c r="E90" s="356">
        <v>6.8868579673562009E-3</v>
      </c>
      <c r="F90" s="356">
        <v>0.25</v>
      </c>
      <c r="G90" s="1" t="s">
        <v>434</v>
      </c>
    </row>
    <row r="91" spans="1:7" ht="16">
      <c r="A91" s="355" t="s">
        <v>717</v>
      </c>
      <c r="B91" s="50" t="s">
        <v>100</v>
      </c>
      <c r="C91" s="287">
        <v>0.1353873749322583</v>
      </c>
      <c r="D91" s="342">
        <f t="shared" si="1"/>
        <v>0.22203674721061356</v>
      </c>
      <c r="E91" s="3">
        <v>0.16653674721061357</v>
      </c>
      <c r="F91" s="287">
        <v>0.23100000000000001</v>
      </c>
      <c r="G91" s="1" t="s">
        <v>434</v>
      </c>
    </row>
    <row r="92" spans="1:7" ht="16">
      <c r="A92" s="44" t="s">
        <v>304</v>
      </c>
      <c r="B92" s="50" t="s">
        <v>689</v>
      </c>
      <c r="C92" s="354">
        <v>5.5987260310332385E-3</v>
      </c>
      <c r="D92" s="342">
        <f t="shared" si="1"/>
        <v>6.2386857967356199E-2</v>
      </c>
      <c r="E92" s="356">
        <v>6.8868579673562009E-3</v>
      </c>
      <c r="F92" s="356">
        <v>0.15</v>
      </c>
      <c r="G92" s="1" t="s">
        <v>365</v>
      </c>
    </row>
    <row r="93" spans="1:7" ht="16">
      <c r="A93" s="44" t="s">
        <v>494</v>
      </c>
      <c r="B93" s="50" t="s">
        <v>693</v>
      </c>
      <c r="C93" s="354">
        <v>6.2094961435095908E-2</v>
      </c>
      <c r="D93" s="342">
        <f t="shared" si="1"/>
        <v>0.13188151563795059</v>
      </c>
      <c r="E93" s="356">
        <v>7.6381515637950578E-2</v>
      </c>
      <c r="F93" s="356">
        <v>0.1</v>
      </c>
      <c r="G93" s="1" t="s">
        <v>359</v>
      </c>
    </row>
    <row r="94" spans="1:7" ht="16">
      <c r="A94" s="44" t="s">
        <v>305</v>
      </c>
      <c r="B94" s="50" t="s">
        <v>709</v>
      </c>
      <c r="C94" s="354">
        <v>1.3538737493225832E-2</v>
      </c>
      <c r="D94" s="342">
        <f t="shared" si="1"/>
        <v>7.2153674721061364E-2</v>
      </c>
      <c r="E94" s="356">
        <v>1.665367472106136E-2</v>
      </c>
      <c r="F94" s="356">
        <v>0.2</v>
      </c>
      <c r="G94" s="1" t="s">
        <v>359</v>
      </c>
    </row>
    <row r="95" spans="1:7" ht="16">
      <c r="A95" s="44" t="s">
        <v>371</v>
      </c>
      <c r="B95" s="50" t="s">
        <v>703</v>
      </c>
      <c r="C95" s="354">
        <v>7.3394208515908457E-2</v>
      </c>
      <c r="D95" s="342">
        <f t="shared" si="1"/>
        <v>0.14578044717206948</v>
      </c>
      <c r="E95" s="356">
        <v>9.028044717206947E-2</v>
      </c>
      <c r="F95" s="356">
        <v>0.15</v>
      </c>
      <c r="G95" s="1" t="s">
        <v>365</v>
      </c>
    </row>
    <row r="96" spans="1:7" ht="16">
      <c r="A96" s="355" t="s">
        <v>718</v>
      </c>
      <c r="B96" s="50" t="s">
        <v>100</v>
      </c>
      <c r="C96" s="287">
        <v>0.1353873749322583</v>
      </c>
      <c r="D96" s="342">
        <f t="shared" si="1"/>
        <v>0.22203674721061356</v>
      </c>
      <c r="E96" s="3">
        <v>0.16653674721061357</v>
      </c>
      <c r="F96" s="287">
        <v>0.29149999999999998</v>
      </c>
      <c r="G96" s="1" t="s">
        <v>360</v>
      </c>
    </row>
    <row r="97" spans="1:7" ht="16">
      <c r="A97" s="355" t="s">
        <v>719</v>
      </c>
      <c r="B97" s="50" t="s">
        <v>100</v>
      </c>
      <c r="C97" s="287">
        <v>5.0795714354283379E-2</v>
      </c>
      <c r="D97" s="342">
        <f t="shared" si="1"/>
        <v>0.11798258410383172</v>
      </c>
      <c r="E97" s="3">
        <v>6.2482584103831715E-2</v>
      </c>
      <c r="F97" s="357">
        <v>0.2</v>
      </c>
      <c r="G97" s="1" t="s">
        <v>360</v>
      </c>
    </row>
    <row r="98" spans="1:7" ht="16">
      <c r="A98" s="44" t="s">
        <v>306</v>
      </c>
      <c r="B98" s="50" t="s">
        <v>695</v>
      </c>
      <c r="C98" s="354">
        <v>0</v>
      </c>
      <c r="D98" s="342">
        <f t="shared" si="1"/>
        <v>5.5500000000000001E-2</v>
      </c>
      <c r="E98" s="356">
        <v>0</v>
      </c>
      <c r="F98" s="356">
        <v>0.125</v>
      </c>
      <c r="G98" s="1" t="s">
        <v>358</v>
      </c>
    </row>
    <row r="99" spans="1:7" ht="16">
      <c r="A99" s="44" t="s">
        <v>307</v>
      </c>
      <c r="B99" s="50" t="s">
        <v>709</v>
      </c>
      <c r="C99" s="354">
        <v>1.3538737493225832E-2</v>
      </c>
      <c r="D99" s="342">
        <f t="shared" si="1"/>
        <v>7.2153674721061364E-2</v>
      </c>
      <c r="E99" s="356">
        <v>1.665367472106136E-2</v>
      </c>
      <c r="F99" s="356">
        <v>0.15</v>
      </c>
      <c r="G99" s="1" t="s">
        <v>359</v>
      </c>
    </row>
    <row r="100" spans="1:7" ht="16">
      <c r="A100" s="44" t="s">
        <v>308</v>
      </c>
      <c r="B100" s="50" t="s">
        <v>695</v>
      </c>
      <c r="C100" s="354">
        <v>0</v>
      </c>
      <c r="D100" s="342">
        <f t="shared" si="1"/>
        <v>5.5500000000000001E-2</v>
      </c>
      <c r="E100" s="356">
        <v>0</v>
      </c>
      <c r="F100" s="356">
        <v>0.2601</v>
      </c>
      <c r="G100" s="1" t="s">
        <v>358</v>
      </c>
    </row>
    <row r="101" spans="1:7" ht="16">
      <c r="A101" s="44" t="s">
        <v>748</v>
      </c>
      <c r="B101" s="50" t="s">
        <v>702</v>
      </c>
      <c r="C101" s="354">
        <v>6.8202662559859444E-3</v>
      </c>
      <c r="D101" s="342">
        <f t="shared" si="1"/>
        <v>6.3889445160233913E-2</v>
      </c>
      <c r="E101" s="356">
        <v>8.389445160233917E-3</v>
      </c>
      <c r="F101" s="356">
        <v>0.12</v>
      </c>
      <c r="G101" s="1" t="s">
        <v>434</v>
      </c>
    </row>
    <row r="102" spans="1:7" ht="16">
      <c r="A102" s="44" t="s">
        <v>309</v>
      </c>
      <c r="B102" s="50" t="s">
        <v>699</v>
      </c>
      <c r="C102" s="354">
        <v>4.0616212479677498E-2</v>
      </c>
      <c r="D102" s="342">
        <f t="shared" si="1"/>
        <v>0.10546102416318409</v>
      </c>
      <c r="E102" s="356">
        <v>4.9961024163184084E-2</v>
      </c>
      <c r="F102" s="356">
        <v>0.1</v>
      </c>
      <c r="G102" s="1" t="s">
        <v>359</v>
      </c>
    </row>
    <row r="103" spans="1:7" ht="16">
      <c r="A103" s="355" t="s">
        <v>720</v>
      </c>
      <c r="B103" s="50" t="s">
        <v>100</v>
      </c>
      <c r="C103" s="287">
        <v>7.3394208515908457E-2</v>
      </c>
      <c r="D103" s="342">
        <f t="shared" si="1"/>
        <v>0.14578044717206948</v>
      </c>
      <c r="E103" s="3">
        <v>9.028044717206947E-2</v>
      </c>
      <c r="F103" s="287">
        <v>0.2</v>
      </c>
      <c r="G103" s="1" t="s">
        <v>360</v>
      </c>
    </row>
    <row r="104" spans="1:7" ht="16">
      <c r="A104" s="355" t="s">
        <v>721</v>
      </c>
      <c r="B104" s="50" t="s">
        <v>100</v>
      </c>
      <c r="C104" s="287">
        <v>8.4591660577974931E-2</v>
      </c>
      <c r="D104" s="342">
        <f t="shared" si="1"/>
        <v>0.15955416310678189</v>
      </c>
      <c r="E104" s="3">
        <v>0.10405416310678188</v>
      </c>
      <c r="F104" s="287">
        <v>0.3</v>
      </c>
      <c r="G104" s="1" t="s">
        <v>360</v>
      </c>
    </row>
    <row r="105" spans="1:7" ht="16">
      <c r="A105" s="44" t="s">
        <v>310</v>
      </c>
      <c r="B105" s="50" t="s">
        <v>709</v>
      </c>
      <c r="C105" s="354">
        <v>1.3538737493225832E-2</v>
      </c>
      <c r="D105" s="342">
        <f t="shared" si="1"/>
        <v>7.2153674721061364E-2</v>
      </c>
      <c r="E105" s="356">
        <v>1.665367472106136E-2</v>
      </c>
      <c r="F105" s="356">
        <v>0.24</v>
      </c>
      <c r="G105" s="1" t="s">
        <v>434</v>
      </c>
    </row>
    <row r="106" spans="1:7" ht="16">
      <c r="A106" s="44" t="s">
        <v>749</v>
      </c>
      <c r="B106" s="50" t="s">
        <v>693</v>
      </c>
      <c r="C106" s="354">
        <v>6.2094961435095908E-2</v>
      </c>
      <c r="D106" s="342">
        <f t="shared" si="1"/>
        <v>0.13188151563795059</v>
      </c>
      <c r="E106" s="356">
        <v>7.6381515637950578E-2</v>
      </c>
      <c r="F106" s="356">
        <v>0</v>
      </c>
      <c r="G106" s="1" t="s">
        <v>434</v>
      </c>
    </row>
    <row r="107" spans="1:7" ht="16">
      <c r="A107" s="355" t="s">
        <v>722</v>
      </c>
      <c r="B107" s="50" t="s">
        <v>100</v>
      </c>
      <c r="C107" s="287">
        <v>8.4591660577974931E-2</v>
      </c>
      <c r="D107" s="342">
        <f t="shared" si="1"/>
        <v>0.15955416310678189</v>
      </c>
      <c r="E107" s="3">
        <v>0.10405416310678188</v>
      </c>
      <c r="F107" s="287">
        <v>0.29149999999999998</v>
      </c>
      <c r="G107" s="1" t="s">
        <v>360</v>
      </c>
    </row>
    <row r="108" spans="1:7" ht="16">
      <c r="A108" s="44" t="s">
        <v>311</v>
      </c>
      <c r="B108" s="50" t="s">
        <v>709</v>
      </c>
      <c r="C108" s="354">
        <v>1.3538737493225832E-2</v>
      </c>
      <c r="D108" s="342">
        <f t="shared" si="1"/>
        <v>7.2153674721061364E-2</v>
      </c>
      <c r="E108" s="356">
        <v>1.665367472106136E-2</v>
      </c>
      <c r="F108" s="356">
        <v>0.35</v>
      </c>
      <c r="G108" s="1" t="s">
        <v>358</v>
      </c>
    </row>
    <row r="109" spans="1:7" ht="16">
      <c r="A109" s="44" t="s">
        <v>312</v>
      </c>
      <c r="B109" s="50" t="s">
        <v>694</v>
      </c>
      <c r="C109" s="354">
        <v>1.8017718318052423E-2</v>
      </c>
      <c r="D109" s="342">
        <f t="shared" si="1"/>
        <v>7.7663161094946323E-2</v>
      </c>
      <c r="E109" s="356">
        <v>2.2163161094946322E-2</v>
      </c>
      <c r="F109" s="356">
        <v>0.15</v>
      </c>
      <c r="G109" s="1" t="s">
        <v>434</v>
      </c>
    </row>
    <row r="110" spans="1:7" ht="16">
      <c r="A110" s="44" t="s">
        <v>313</v>
      </c>
      <c r="B110" s="50" t="s">
        <v>709</v>
      </c>
      <c r="C110" s="354">
        <v>1.3538737493225832E-2</v>
      </c>
      <c r="D110" s="342">
        <f t="shared" si="1"/>
        <v>7.2153674721061364E-2</v>
      </c>
      <c r="E110" s="356">
        <v>1.665367472106136E-2</v>
      </c>
      <c r="F110" s="356">
        <v>0.3</v>
      </c>
      <c r="G110" s="1" t="s">
        <v>361</v>
      </c>
    </row>
    <row r="111" spans="1:7" ht="16">
      <c r="A111" s="44" t="s">
        <v>372</v>
      </c>
      <c r="B111" s="50" t="s">
        <v>703</v>
      </c>
      <c r="C111" s="354">
        <v>7.3394208515908457E-2</v>
      </c>
      <c r="D111" s="342">
        <f t="shared" si="1"/>
        <v>0.14578044717206948</v>
      </c>
      <c r="E111" s="356">
        <v>9.028044717206947E-2</v>
      </c>
      <c r="F111" s="356">
        <v>0.12</v>
      </c>
      <c r="G111" s="1" t="s">
        <v>359</v>
      </c>
    </row>
    <row r="112" spans="1:7" ht="16">
      <c r="A112" s="44" t="s">
        <v>373</v>
      </c>
      <c r="B112" s="50" t="s">
        <v>703</v>
      </c>
      <c r="C112" s="354">
        <v>7.3394208515908457E-2</v>
      </c>
      <c r="D112" s="342">
        <f t="shared" si="1"/>
        <v>0.14578044717206948</v>
      </c>
      <c r="E112" s="356">
        <v>9.028044717206947E-2</v>
      </c>
      <c r="F112" s="356">
        <v>0.33</v>
      </c>
      <c r="G112" s="1" t="s">
        <v>434</v>
      </c>
    </row>
    <row r="113" spans="1:7" ht="16">
      <c r="A113" s="44" t="s">
        <v>314</v>
      </c>
      <c r="B113" s="50" t="s">
        <v>690</v>
      </c>
      <c r="C113" s="354">
        <v>5.0795714354283386E-2</v>
      </c>
      <c r="D113" s="342">
        <f t="shared" si="1"/>
        <v>0.11798258410383172</v>
      </c>
      <c r="E113" s="356">
        <v>6.2482584103831722E-2</v>
      </c>
      <c r="F113" s="356">
        <v>0.09</v>
      </c>
      <c r="G113" s="1" t="s">
        <v>359</v>
      </c>
    </row>
    <row r="114" spans="1:7" ht="16">
      <c r="A114" s="44" t="s">
        <v>495</v>
      </c>
      <c r="B114" s="50" t="s">
        <v>698</v>
      </c>
      <c r="C114" s="354">
        <v>2.4837984574038366E-2</v>
      </c>
      <c r="D114" s="342">
        <f t="shared" si="1"/>
        <v>8.6052606255180242E-2</v>
      </c>
      <c r="E114" s="356">
        <v>3.0552606255180234E-2</v>
      </c>
      <c r="F114" s="356">
        <v>0.27979999999999999</v>
      </c>
      <c r="G114" s="1" t="s">
        <v>364</v>
      </c>
    </row>
    <row r="115" spans="1:7" ht="16">
      <c r="A115" s="44" t="s">
        <v>374</v>
      </c>
      <c r="B115" s="50" t="s">
        <v>711</v>
      </c>
      <c r="C115" s="354">
        <v>2.8197220192658311E-2</v>
      </c>
      <c r="D115" s="342">
        <f t="shared" si="1"/>
        <v>9.0184721035593968E-2</v>
      </c>
      <c r="E115" s="356">
        <v>3.468472103559396E-2</v>
      </c>
      <c r="F115" s="356">
        <v>0.31</v>
      </c>
      <c r="G115" s="1" t="s">
        <v>360</v>
      </c>
    </row>
    <row r="116" spans="1:7" ht="16">
      <c r="A116" s="44" t="s">
        <v>315</v>
      </c>
      <c r="B116" s="50" t="s">
        <v>700</v>
      </c>
      <c r="C116" s="354">
        <v>0.11278888077063325</v>
      </c>
      <c r="D116" s="342">
        <f t="shared" si="1"/>
        <v>0.19423888414237583</v>
      </c>
      <c r="E116" s="356">
        <v>0.13873888414237584</v>
      </c>
      <c r="F116" s="356">
        <v>0.32</v>
      </c>
      <c r="G116" s="1" t="s">
        <v>360</v>
      </c>
    </row>
    <row r="117" spans="1:7" ht="16">
      <c r="A117" s="355" t="s">
        <v>723</v>
      </c>
      <c r="B117" s="50" t="s">
        <v>100</v>
      </c>
      <c r="C117" s="287">
        <v>8.4591660577974931E-2</v>
      </c>
      <c r="D117" s="342">
        <f t="shared" si="1"/>
        <v>0.15955416310678189</v>
      </c>
      <c r="E117" s="3">
        <v>0.10405416310678188</v>
      </c>
      <c r="F117" s="287">
        <v>0.25</v>
      </c>
      <c r="G117" s="1" t="s">
        <v>434</v>
      </c>
    </row>
    <row r="118" spans="1:7" ht="16">
      <c r="A118" s="44" t="s">
        <v>316</v>
      </c>
      <c r="B118" s="50" t="s">
        <v>711</v>
      </c>
      <c r="C118" s="354">
        <v>2.8197220192658311E-2</v>
      </c>
      <c r="D118" s="342">
        <f t="shared" si="1"/>
        <v>9.0184721035593968E-2</v>
      </c>
      <c r="E118" s="356">
        <v>3.468472103559396E-2</v>
      </c>
      <c r="F118" s="356">
        <v>0.32</v>
      </c>
      <c r="G118" s="1" t="s">
        <v>360</v>
      </c>
    </row>
    <row r="119" spans="1:7" ht="16">
      <c r="A119" s="44" t="s">
        <v>317</v>
      </c>
      <c r="B119" s="50" t="s">
        <v>695</v>
      </c>
      <c r="C119" s="354">
        <v>0</v>
      </c>
      <c r="D119" s="342">
        <f t="shared" si="1"/>
        <v>5.5500000000000001E-2</v>
      </c>
      <c r="E119" s="356">
        <v>0</v>
      </c>
      <c r="F119" s="356">
        <v>0.25</v>
      </c>
      <c r="G119" s="1" t="s">
        <v>358</v>
      </c>
    </row>
    <row r="120" spans="1:7" ht="16">
      <c r="A120" s="44" t="s">
        <v>318</v>
      </c>
      <c r="B120" s="50" t="s">
        <v>695</v>
      </c>
      <c r="C120" s="354">
        <v>0</v>
      </c>
      <c r="D120" s="342">
        <f t="shared" si="1"/>
        <v>5.5500000000000001E-2</v>
      </c>
      <c r="E120" s="356">
        <v>0</v>
      </c>
      <c r="F120" s="356">
        <v>0.28000000000000003</v>
      </c>
      <c r="G120" s="1" t="s">
        <v>362</v>
      </c>
    </row>
    <row r="121" spans="1:7" ht="16">
      <c r="A121" s="44" t="s">
        <v>375</v>
      </c>
      <c r="B121" s="50" t="s">
        <v>693</v>
      </c>
      <c r="C121" s="354">
        <v>6.2094961435095908E-2</v>
      </c>
      <c r="D121" s="342">
        <f t="shared" si="1"/>
        <v>0.13188151563795059</v>
      </c>
      <c r="E121" s="356">
        <v>7.6381515637950578E-2</v>
      </c>
      <c r="F121" s="356">
        <v>0.3</v>
      </c>
      <c r="G121" s="1" t="s">
        <v>361</v>
      </c>
    </row>
    <row r="122" spans="1:7" ht="16">
      <c r="A122" s="355" t="s">
        <v>724</v>
      </c>
      <c r="B122" s="50" t="s">
        <v>100</v>
      </c>
      <c r="C122" s="287">
        <v>0.1353873749322583</v>
      </c>
      <c r="D122" s="342">
        <f t="shared" si="1"/>
        <v>0.22203674721061356</v>
      </c>
      <c r="E122" s="3">
        <v>0.16653674721061357</v>
      </c>
      <c r="F122" s="287">
        <v>0.28210000000000002</v>
      </c>
      <c r="G122" s="1" t="s">
        <v>360</v>
      </c>
    </row>
    <row r="123" spans="1:7" ht="16">
      <c r="A123" s="44" t="s">
        <v>319</v>
      </c>
      <c r="B123" s="50" t="s">
        <v>693</v>
      </c>
      <c r="C123" s="354">
        <v>6.2094961435095908E-2</v>
      </c>
      <c r="D123" s="342">
        <f t="shared" si="1"/>
        <v>0.13188151563795059</v>
      </c>
      <c r="E123" s="356">
        <v>7.6381515637950578E-2</v>
      </c>
      <c r="F123" s="356">
        <v>0.3</v>
      </c>
      <c r="G123" s="1" t="s">
        <v>360</v>
      </c>
    </row>
    <row r="124" spans="1:7" ht="16">
      <c r="A124" s="44" t="s">
        <v>320</v>
      </c>
      <c r="B124" s="50" t="s">
        <v>695</v>
      </c>
      <c r="C124" s="354">
        <v>0</v>
      </c>
      <c r="D124" s="342">
        <f t="shared" si="1"/>
        <v>5.5500000000000001E-2</v>
      </c>
      <c r="E124" s="356">
        <v>0</v>
      </c>
      <c r="F124" s="356">
        <v>0.23</v>
      </c>
      <c r="G124" s="1" t="s">
        <v>358</v>
      </c>
    </row>
    <row r="125" spans="1:7" ht="16">
      <c r="A125" s="44" t="s">
        <v>321</v>
      </c>
      <c r="B125" s="50" t="s">
        <v>698</v>
      </c>
      <c r="C125" s="354">
        <v>2.4837984574038366E-2</v>
      </c>
      <c r="D125" s="342">
        <f t="shared" si="1"/>
        <v>8.6052606255180242E-2</v>
      </c>
      <c r="E125" s="356">
        <v>3.0552606255180234E-2</v>
      </c>
      <c r="F125" s="356">
        <v>0.15</v>
      </c>
      <c r="G125" s="1" t="s">
        <v>365</v>
      </c>
    </row>
    <row r="126" spans="1:7" ht="16">
      <c r="A126" s="44" t="s">
        <v>322</v>
      </c>
      <c r="B126" s="50" t="s">
        <v>703</v>
      </c>
      <c r="C126" s="354">
        <v>7.3394208515908457E-2</v>
      </c>
      <c r="D126" s="342">
        <f t="shared" si="1"/>
        <v>0.14578044717206948</v>
      </c>
      <c r="E126" s="356">
        <v>9.028044717206947E-2</v>
      </c>
      <c r="F126" s="356">
        <v>0.3</v>
      </c>
      <c r="G126" s="1" t="s">
        <v>434</v>
      </c>
    </row>
    <row r="127" spans="1:7" ht="16">
      <c r="A127" s="44" t="s">
        <v>323</v>
      </c>
      <c r="B127" s="50" t="s">
        <v>692</v>
      </c>
      <c r="C127" s="354">
        <v>2.147874895541842E-2</v>
      </c>
      <c r="D127" s="342">
        <f t="shared" si="1"/>
        <v>8.1920491474766516E-2</v>
      </c>
      <c r="E127" s="356">
        <v>2.6420491474766512E-2</v>
      </c>
      <c r="F127" s="356">
        <v>0.25</v>
      </c>
      <c r="G127" s="1" t="s">
        <v>361</v>
      </c>
    </row>
    <row r="128" spans="1:7" ht="16">
      <c r="A128" s="44" t="s">
        <v>324</v>
      </c>
      <c r="B128" s="50" t="s">
        <v>693</v>
      </c>
      <c r="C128" s="354">
        <v>6.2094961435095908E-2</v>
      </c>
      <c r="D128" s="342">
        <f t="shared" si="1"/>
        <v>0.13188151563795059</v>
      </c>
      <c r="E128" s="356">
        <v>7.6381515637950578E-2</v>
      </c>
      <c r="F128" s="356">
        <v>0.3</v>
      </c>
      <c r="G128" s="1" t="s">
        <v>434</v>
      </c>
    </row>
    <row r="129" spans="1:7" ht="16">
      <c r="A129" s="44" t="s">
        <v>325</v>
      </c>
      <c r="B129" s="50" t="s">
        <v>711</v>
      </c>
      <c r="C129" s="354">
        <v>2.8197220192658311E-2</v>
      </c>
      <c r="D129" s="342">
        <f t="shared" si="1"/>
        <v>9.0184721035593968E-2</v>
      </c>
      <c r="E129" s="356">
        <v>3.468472103559396E-2</v>
      </c>
      <c r="F129" s="356">
        <v>0.1</v>
      </c>
      <c r="G129" s="1" t="s">
        <v>361</v>
      </c>
    </row>
    <row r="130" spans="1:7" ht="16">
      <c r="A130" s="44" t="s">
        <v>326</v>
      </c>
      <c r="B130" s="50" t="s">
        <v>709</v>
      </c>
      <c r="C130" s="354">
        <v>1.3538737493225832E-2</v>
      </c>
      <c r="D130" s="342">
        <f t="shared" si="1"/>
        <v>7.2153674721061364E-2</v>
      </c>
      <c r="E130" s="356">
        <v>1.665367472106136E-2</v>
      </c>
      <c r="F130" s="356">
        <v>0.29499999999999998</v>
      </c>
      <c r="G130" s="1" t="s">
        <v>361</v>
      </c>
    </row>
    <row r="131" spans="1:7" ht="16">
      <c r="A131" s="44" t="s">
        <v>327</v>
      </c>
      <c r="B131" s="50" t="s">
        <v>692</v>
      </c>
      <c r="C131" s="354">
        <v>2.147874895541842E-2</v>
      </c>
      <c r="D131" s="342">
        <f t="shared" si="1"/>
        <v>8.1920491474766516E-2</v>
      </c>
      <c r="E131" s="356">
        <v>2.6420491474766512E-2</v>
      </c>
      <c r="F131" s="356">
        <v>0.3</v>
      </c>
      <c r="G131" s="1" t="s">
        <v>434</v>
      </c>
    </row>
    <row r="132" spans="1:7" ht="16">
      <c r="A132" s="44" t="s">
        <v>328</v>
      </c>
      <c r="B132" s="50" t="s">
        <v>705</v>
      </c>
      <c r="C132" s="354">
        <v>9.5687317621295353E-3</v>
      </c>
      <c r="D132" s="342">
        <f t="shared" si="1"/>
        <v>6.7270266344208782E-2</v>
      </c>
      <c r="E132" s="356">
        <v>1.1770266344208781E-2</v>
      </c>
      <c r="F132" s="356">
        <v>0.19</v>
      </c>
      <c r="G132" s="1" t="s">
        <v>359</v>
      </c>
    </row>
    <row r="133" spans="1:7" ht="16">
      <c r="A133" s="44" t="s">
        <v>329</v>
      </c>
      <c r="B133" s="50" t="s">
        <v>698</v>
      </c>
      <c r="C133" s="354">
        <v>2.4837984574038366E-2</v>
      </c>
      <c r="D133" s="342">
        <f t="shared" si="1"/>
        <v>8.6052606255180242E-2</v>
      </c>
      <c r="E133" s="356">
        <v>3.0552606255180234E-2</v>
      </c>
      <c r="F133" s="356">
        <v>0.21</v>
      </c>
      <c r="G133" s="1" t="s">
        <v>358</v>
      </c>
    </row>
    <row r="134" spans="1:7" ht="16">
      <c r="A134" s="44" t="s">
        <v>330</v>
      </c>
      <c r="B134" s="50" t="s">
        <v>702</v>
      </c>
      <c r="C134" s="354">
        <v>6.8202662559859444E-3</v>
      </c>
      <c r="D134" s="342">
        <f t="shared" ref="D134:D172" si="2">$D$173+E134</f>
        <v>6.3889445160233913E-2</v>
      </c>
      <c r="E134" s="356">
        <v>8.389445160233917E-3</v>
      </c>
      <c r="F134" s="356">
        <v>0.1</v>
      </c>
      <c r="G134" s="1" t="s">
        <v>365</v>
      </c>
    </row>
    <row r="135" spans="1:7" ht="16">
      <c r="A135" s="44" t="s">
        <v>512</v>
      </c>
      <c r="B135" s="50" t="s">
        <v>705</v>
      </c>
      <c r="C135" s="354">
        <v>9.5687317621295353E-3</v>
      </c>
      <c r="D135" s="342">
        <f t="shared" si="2"/>
        <v>6.7270266344208782E-2</v>
      </c>
      <c r="E135" s="356">
        <v>1.1770266344208781E-2</v>
      </c>
      <c r="F135" s="356">
        <v>0</v>
      </c>
      <c r="G135" s="1" t="s">
        <v>365</v>
      </c>
    </row>
    <row r="136" spans="1:7" ht="16">
      <c r="A136" s="44" t="s">
        <v>331</v>
      </c>
      <c r="B136" s="50" t="s">
        <v>698</v>
      </c>
      <c r="C136" s="354">
        <v>2.4837984574038366E-2</v>
      </c>
      <c r="D136" s="342">
        <f t="shared" si="2"/>
        <v>8.6052606255180242E-2</v>
      </c>
      <c r="E136" s="356">
        <v>3.0552606255180234E-2</v>
      </c>
      <c r="F136" s="356">
        <v>0.16</v>
      </c>
      <c r="G136" s="1" t="s">
        <v>359</v>
      </c>
    </row>
    <row r="137" spans="1:7" ht="16">
      <c r="A137" s="44" t="s">
        <v>332</v>
      </c>
      <c r="B137" s="50" t="s">
        <v>711</v>
      </c>
      <c r="C137" s="354">
        <v>2.8197220192658311E-2</v>
      </c>
      <c r="D137" s="342">
        <f t="shared" si="2"/>
        <v>9.0184721035593968E-2</v>
      </c>
      <c r="E137" s="356">
        <v>3.468472103559396E-2</v>
      </c>
      <c r="F137" s="356">
        <v>0.2</v>
      </c>
      <c r="G137" s="1" t="s">
        <v>359</v>
      </c>
    </row>
    <row r="138" spans="1:7" ht="16">
      <c r="A138" s="44" t="s">
        <v>496</v>
      </c>
      <c r="B138" s="50" t="s">
        <v>693</v>
      </c>
      <c r="C138" s="354">
        <v>6.2094961435095908E-2</v>
      </c>
      <c r="D138" s="342">
        <f t="shared" si="2"/>
        <v>0.13188151563795059</v>
      </c>
      <c r="E138" s="356">
        <v>7.6381515637950578E-2</v>
      </c>
      <c r="F138" s="356">
        <v>0.3</v>
      </c>
      <c r="G138" s="1" t="s">
        <v>360</v>
      </c>
    </row>
    <row r="139" spans="1:7" ht="16">
      <c r="A139" s="44" t="s">
        <v>333</v>
      </c>
      <c r="B139" s="50" t="s">
        <v>707</v>
      </c>
      <c r="C139" s="354">
        <v>7.9400114621925918E-3</v>
      </c>
      <c r="D139" s="342">
        <f t="shared" si="2"/>
        <v>6.5266816753705159E-2</v>
      </c>
      <c r="E139" s="356">
        <v>9.7668167537051567E-3</v>
      </c>
      <c r="F139" s="356">
        <v>0.2</v>
      </c>
      <c r="G139" s="1" t="s">
        <v>365</v>
      </c>
    </row>
    <row r="140" spans="1:7" ht="16">
      <c r="A140" s="44" t="s">
        <v>376</v>
      </c>
      <c r="B140" s="50" t="s">
        <v>699</v>
      </c>
      <c r="C140" s="354">
        <v>4.0616212479677498E-2</v>
      </c>
      <c r="D140" s="342">
        <f t="shared" si="2"/>
        <v>0.10546102416318409</v>
      </c>
      <c r="E140" s="356">
        <v>4.9961024163184084E-2</v>
      </c>
      <c r="F140" s="356">
        <v>0.3</v>
      </c>
      <c r="G140" s="1" t="s">
        <v>360</v>
      </c>
    </row>
    <row r="141" spans="1:7" ht="16">
      <c r="A141" s="44" t="s">
        <v>334</v>
      </c>
      <c r="B141" s="50" t="s">
        <v>699</v>
      </c>
      <c r="C141" s="354">
        <v>4.0616212479677498E-2</v>
      </c>
      <c r="D141" s="342">
        <f t="shared" si="2"/>
        <v>0.10546102416318409</v>
      </c>
      <c r="E141" s="356">
        <v>4.9961024163184084E-2</v>
      </c>
      <c r="F141" s="356">
        <v>0.15</v>
      </c>
      <c r="G141" s="1" t="s">
        <v>359</v>
      </c>
    </row>
    <row r="142" spans="1:7" ht="16">
      <c r="A142" s="44" t="s">
        <v>513</v>
      </c>
      <c r="B142" s="50" t="s">
        <v>709</v>
      </c>
      <c r="C142" s="354">
        <v>1.3538737493225832E-2</v>
      </c>
      <c r="D142" s="342">
        <f t="shared" si="2"/>
        <v>7.2153674721061364E-2</v>
      </c>
      <c r="E142" s="356">
        <v>1.665367472106136E-2</v>
      </c>
      <c r="F142" s="356">
        <v>0.2</v>
      </c>
      <c r="G142" s="1" t="s">
        <v>365</v>
      </c>
    </row>
    <row r="143" spans="1:7" ht="16">
      <c r="A143" s="355" t="s">
        <v>725</v>
      </c>
      <c r="B143" s="50" t="s">
        <v>100</v>
      </c>
      <c r="C143" s="287">
        <v>0.1353873749322583</v>
      </c>
      <c r="D143" s="342">
        <f t="shared" si="2"/>
        <v>0.22203674721061356</v>
      </c>
      <c r="E143" s="3">
        <v>0.16653674721061357</v>
      </c>
      <c r="F143" s="287">
        <v>0.3</v>
      </c>
      <c r="G143" s="1" t="s">
        <v>360</v>
      </c>
    </row>
    <row r="144" spans="1:7" ht="16">
      <c r="A144" s="44" t="s">
        <v>335</v>
      </c>
      <c r="B144" s="50" t="s">
        <v>695</v>
      </c>
      <c r="C144" s="354">
        <v>0</v>
      </c>
      <c r="D144" s="342">
        <f t="shared" si="2"/>
        <v>5.5500000000000001E-2</v>
      </c>
      <c r="E144" s="356">
        <v>0</v>
      </c>
      <c r="F144" s="356">
        <v>0.17</v>
      </c>
      <c r="G144" s="1" t="s">
        <v>434</v>
      </c>
    </row>
    <row r="145" spans="1:7" ht="16">
      <c r="A145" s="44" t="s">
        <v>377</v>
      </c>
      <c r="B145" s="50" t="s">
        <v>705</v>
      </c>
      <c r="C145" s="354">
        <v>9.5687317621295353E-3</v>
      </c>
      <c r="D145" s="342">
        <f t="shared" si="2"/>
        <v>6.7270266344208782E-2</v>
      </c>
      <c r="E145" s="356">
        <v>1.1770266344208781E-2</v>
      </c>
      <c r="F145" s="356">
        <v>0.21</v>
      </c>
      <c r="G145" s="1" t="s">
        <v>359</v>
      </c>
    </row>
    <row r="146" spans="1:7" ht="16">
      <c r="A146" s="44" t="s">
        <v>336</v>
      </c>
      <c r="B146" s="50" t="s">
        <v>694</v>
      </c>
      <c r="C146" s="354">
        <v>1.8017718318052423E-2</v>
      </c>
      <c r="D146" s="342">
        <f t="shared" si="2"/>
        <v>7.7663161094946323E-2</v>
      </c>
      <c r="E146" s="356">
        <v>2.2163161094946322E-2</v>
      </c>
      <c r="F146" s="356">
        <v>0.19</v>
      </c>
      <c r="G146" s="1" t="s">
        <v>359</v>
      </c>
    </row>
    <row r="147" spans="1:7" ht="16">
      <c r="A147" s="44" t="s">
        <v>726</v>
      </c>
      <c r="B147" s="50" t="s">
        <v>703</v>
      </c>
      <c r="C147" s="354">
        <v>7.3394208515908457E-2</v>
      </c>
      <c r="D147" s="342">
        <f t="shared" si="2"/>
        <v>0.14578044717206948</v>
      </c>
      <c r="E147" s="356">
        <v>9.028044717206947E-2</v>
      </c>
      <c r="F147" s="356">
        <v>0.3</v>
      </c>
      <c r="G147" s="1" t="s">
        <v>434</v>
      </c>
    </row>
    <row r="148" spans="1:7" ht="16">
      <c r="A148" s="355" t="s">
        <v>727</v>
      </c>
      <c r="B148" s="50" t="s">
        <v>100</v>
      </c>
      <c r="C148" s="287">
        <v>0.1353873749322583</v>
      </c>
      <c r="D148" s="342">
        <f t="shared" si="2"/>
        <v>0.22203674721061356</v>
      </c>
      <c r="E148" s="3">
        <v>0.16653674721061357</v>
      </c>
      <c r="F148" s="287">
        <v>0.29149999999999998</v>
      </c>
      <c r="G148" s="1" t="s">
        <v>360</v>
      </c>
    </row>
    <row r="149" spans="1:7" ht="16">
      <c r="A149" s="44" t="s">
        <v>337</v>
      </c>
      <c r="B149" s="50" t="s">
        <v>698</v>
      </c>
      <c r="C149" s="354">
        <v>2.4837984574038366E-2</v>
      </c>
      <c r="D149" s="342">
        <f t="shared" si="2"/>
        <v>8.6052606255180242E-2</v>
      </c>
      <c r="E149" s="356">
        <v>3.0552606255180234E-2</v>
      </c>
      <c r="F149" s="356">
        <v>0.28000000000000003</v>
      </c>
      <c r="G149" s="1" t="s">
        <v>360</v>
      </c>
    </row>
    <row r="150" spans="1:7" ht="16">
      <c r="A150" s="44" t="s">
        <v>338</v>
      </c>
      <c r="B150" s="50" t="s">
        <v>694</v>
      </c>
      <c r="C150" s="354">
        <v>1.8017718318052423E-2</v>
      </c>
      <c r="D150" s="342">
        <f t="shared" si="2"/>
        <v>7.7663161094946323E-2</v>
      </c>
      <c r="E150" s="356">
        <v>2.2163161094946322E-2</v>
      </c>
      <c r="F150" s="356">
        <v>0.25</v>
      </c>
      <c r="G150" s="1" t="s">
        <v>358</v>
      </c>
    </row>
    <row r="151" spans="1:7" ht="16">
      <c r="A151" s="44" t="s">
        <v>339</v>
      </c>
      <c r="B151" s="50" t="s">
        <v>690</v>
      </c>
      <c r="C151" s="354">
        <v>5.0795714354283386E-2</v>
      </c>
      <c r="D151" s="342">
        <f t="shared" si="2"/>
        <v>0.11798258410383172</v>
      </c>
      <c r="E151" s="356">
        <v>6.2482584103831722E-2</v>
      </c>
      <c r="F151" s="356">
        <v>0.28000000000000003</v>
      </c>
      <c r="G151" s="1" t="s">
        <v>434</v>
      </c>
    </row>
    <row r="152" spans="1:7" ht="16">
      <c r="A152" s="44" t="s">
        <v>436</v>
      </c>
      <c r="B152" s="50" t="s">
        <v>692</v>
      </c>
      <c r="C152" s="354">
        <v>2.147874895541842E-2</v>
      </c>
      <c r="D152" s="342">
        <f t="shared" si="2"/>
        <v>8.1920491474766516E-2</v>
      </c>
      <c r="E152" s="356">
        <v>2.6420491474766512E-2</v>
      </c>
      <c r="F152" s="356">
        <v>0.35</v>
      </c>
      <c r="G152" s="1" t="s">
        <v>364</v>
      </c>
    </row>
    <row r="153" spans="1:7" ht="16">
      <c r="A153" s="44" t="s">
        <v>378</v>
      </c>
      <c r="B153" s="50" t="s">
        <v>703</v>
      </c>
      <c r="C153" s="354">
        <v>7.3394208515908457E-2</v>
      </c>
      <c r="D153" s="342">
        <f t="shared" si="2"/>
        <v>0.14578044717206948</v>
      </c>
      <c r="E153" s="356">
        <v>9.028044717206947E-2</v>
      </c>
      <c r="F153" s="356">
        <v>0.2</v>
      </c>
      <c r="G153" s="1" t="s">
        <v>364</v>
      </c>
    </row>
    <row r="154" spans="1:7" ht="16">
      <c r="A154" s="355" t="s">
        <v>728</v>
      </c>
      <c r="B154" s="50" t="s">
        <v>100</v>
      </c>
      <c r="C154" s="287">
        <v>0.18</v>
      </c>
      <c r="D154" s="342">
        <f t="shared" si="2"/>
        <v>0.27691366218902891</v>
      </c>
      <c r="E154" s="3">
        <v>0.22141366218902891</v>
      </c>
      <c r="F154" s="287">
        <v>0.35</v>
      </c>
      <c r="G154" s="1" t="s">
        <v>360</v>
      </c>
    </row>
    <row r="155" spans="1:7" ht="16">
      <c r="A155" s="44" t="s">
        <v>379</v>
      </c>
      <c r="B155" s="50" t="s">
        <v>693</v>
      </c>
      <c r="C155" s="354">
        <v>6.2094961435095908E-2</v>
      </c>
      <c r="D155" s="342">
        <f t="shared" si="2"/>
        <v>0.13188151563795059</v>
      </c>
      <c r="E155" s="356">
        <v>7.6381515637950578E-2</v>
      </c>
      <c r="F155" s="356">
        <v>0.36</v>
      </c>
      <c r="G155" s="1" t="s">
        <v>361</v>
      </c>
    </row>
    <row r="156" spans="1:7" ht="16">
      <c r="A156" s="44" t="s">
        <v>729</v>
      </c>
      <c r="B156" s="50" t="s">
        <v>693</v>
      </c>
      <c r="C156" s="354">
        <v>6.2094961435095908E-2</v>
      </c>
      <c r="D156" s="342">
        <f t="shared" si="2"/>
        <v>0.13188151563795059</v>
      </c>
      <c r="E156" s="356">
        <v>7.6381515637950578E-2</v>
      </c>
      <c r="F156" s="356">
        <v>0.28000000000000003</v>
      </c>
      <c r="G156" s="1" t="s">
        <v>360</v>
      </c>
    </row>
    <row r="157" spans="1:7" ht="16">
      <c r="A157" s="44" t="s">
        <v>340</v>
      </c>
      <c r="B157" s="50" t="s">
        <v>695</v>
      </c>
      <c r="C157" s="354">
        <v>0</v>
      </c>
      <c r="D157" s="342">
        <f t="shared" si="2"/>
        <v>5.5500000000000001E-2</v>
      </c>
      <c r="E157" s="356">
        <v>0</v>
      </c>
      <c r="F157" s="356">
        <v>0.22</v>
      </c>
      <c r="G157" s="1" t="s">
        <v>358</v>
      </c>
    </row>
    <row r="158" spans="1:7" ht="16">
      <c r="A158" s="44" t="s">
        <v>341</v>
      </c>
      <c r="B158" s="50" t="s">
        <v>695</v>
      </c>
      <c r="C158" s="354">
        <v>0</v>
      </c>
      <c r="D158" s="342">
        <f t="shared" si="2"/>
        <v>5.5500000000000001E-2</v>
      </c>
      <c r="E158" s="356">
        <v>0</v>
      </c>
      <c r="F158" s="356">
        <v>0.18</v>
      </c>
      <c r="G158" s="1" t="s">
        <v>358</v>
      </c>
    </row>
    <row r="159" spans="1:7" ht="16">
      <c r="A159" s="355" t="s">
        <v>730</v>
      </c>
      <c r="B159" s="50" t="s">
        <v>100</v>
      </c>
      <c r="C159" s="287">
        <v>0.1353873749322583</v>
      </c>
      <c r="D159" s="342">
        <f t="shared" si="2"/>
        <v>0.22203674721061356</v>
      </c>
      <c r="E159" s="3">
        <v>0.16653674721061357</v>
      </c>
      <c r="F159" s="287">
        <v>0.28000000000000003</v>
      </c>
      <c r="G159" s="1" t="s">
        <v>365</v>
      </c>
    </row>
    <row r="160" spans="1:7" ht="16">
      <c r="A160" s="44" t="s">
        <v>342</v>
      </c>
      <c r="B160" s="50" t="s">
        <v>702</v>
      </c>
      <c r="C160" s="354">
        <v>1.8017718318052423E-2</v>
      </c>
      <c r="D160" s="342">
        <f t="shared" si="2"/>
        <v>7.7663161094946323E-2</v>
      </c>
      <c r="E160" s="356">
        <v>2.2163161094946322E-2</v>
      </c>
      <c r="F160" s="356">
        <v>0.2</v>
      </c>
      <c r="G160" s="1" t="s">
        <v>434</v>
      </c>
    </row>
    <row r="161" spans="1:7" ht="16">
      <c r="A161" s="44" t="s">
        <v>731</v>
      </c>
      <c r="B161" s="50" t="s">
        <v>703</v>
      </c>
      <c r="C161" s="354">
        <v>2.8197220192658311E-2</v>
      </c>
      <c r="D161" s="342">
        <f t="shared" si="2"/>
        <v>9.0184721035593968E-2</v>
      </c>
      <c r="E161" s="356">
        <v>3.468472103559396E-2</v>
      </c>
      <c r="F161" s="356">
        <v>0.2</v>
      </c>
      <c r="G161" s="1" t="s">
        <v>359</v>
      </c>
    </row>
    <row r="162" spans="1:7" ht="16">
      <c r="A162" s="44" t="s">
        <v>732</v>
      </c>
      <c r="B162" s="50" t="s">
        <v>690</v>
      </c>
      <c r="C162" s="354">
        <v>5.0795714354283386E-2</v>
      </c>
      <c r="D162" s="342">
        <f t="shared" si="2"/>
        <v>0.11798258410383172</v>
      </c>
      <c r="E162" s="356">
        <v>6.2482584103831722E-2</v>
      </c>
      <c r="F162" s="356">
        <v>0.3</v>
      </c>
      <c r="G162" s="1" t="s">
        <v>360</v>
      </c>
    </row>
    <row r="163" spans="1:7" ht="16">
      <c r="A163" s="44" t="s">
        <v>343</v>
      </c>
      <c r="B163" s="50" t="s">
        <v>694</v>
      </c>
      <c r="C163" s="354">
        <v>1.8017718318052423E-2</v>
      </c>
      <c r="D163" s="342">
        <f t="shared" si="2"/>
        <v>7.7663161094946323E-2</v>
      </c>
      <c r="E163" s="356">
        <v>2.2163161094946322E-2</v>
      </c>
      <c r="F163" s="356">
        <v>0.2</v>
      </c>
      <c r="G163" s="1" t="s">
        <v>434</v>
      </c>
    </row>
    <row r="164" spans="1:7" ht="16">
      <c r="A164" s="355" t="s">
        <v>733</v>
      </c>
      <c r="B164" s="50" t="s">
        <v>100</v>
      </c>
      <c r="C164" s="287">
        <v>8.4591660577974931E-2</v>
      </c>
      <c r="D164" s="342">
        <f t="shared" si="2"/>
        <v>0.15955416310678189</v>
      </c>
      <c r="E164" s="3">
        <v>0.10405416310678188</v>
      </c>
      <c r="F164" s="287">
        <v>0.29149999999999998</v>
      </c>
      <c r="G164" s="1" t="s">
        <v>360</v>
      </c>
    </row>
    <row r="165" spans="1:7" ht="16">
      <c r="A165" s="44" t="s">
        <v>750</v>
      </c>
      <c r="B165" s="50" t="s">
        <v>711</v>
      </c>
      <c r="C165" s="354">
        <v>2.8197220192658311E-2</v>
      </c>
      <c r="D165" s="342">
        <f t="shared" si="2"/>
        <v>9.0184721035593968E-2</v>
      </c>
      <c r="E165" s="356">
        <v>3.468472103559396E-2</v>
      </c>
      <c r="F165" s="356">
        <v>0.25</v>
      </c>
      <c r="G165" s="1" t="s">
        <v>364</v>
      </c>
    </row>
    <row r="166" spans="1:7" ht="16">
      <c r="A166" s="44" t="s">
        <v>344</v>
      </c>
      <c r="B166" s="50" t="s">
        <v>693</v>
      </c>
      <c r="C166" s="354">
        <v>6.2094961435095908E-2</v>
      </c>
      <c r="D166" s="342">
        <f t="shared" si="2"/>
        <v>0.13188151563795059</v>
      </c>
      <c r="E166" s="356">
        <v>7.6381515637950578E-2</v>
      </c>
      <c r="F166" s="356">
        <v>0.25</v>
      </c>
      <c r="G166" s="1" t="s">
        <v>360</v>
      </c>
    </row>
    <row r="167" spans="1:7" ht="16">
      <c r="A167" s="44" t="s">
        <v>345</v>
      </c>
      <c r="B167" s="50" t="s">
        <v>699</v>
      </c>
      <c r="C167" s="354">
        <v>4.0616212479677498E-2</v>
      </c>
      <c r="D167" s="342">
        <f t="shared" si="2"/>
        <v>0.10546102416318409</v>
      </c>
      <c r="E167" s="356">
        <v>4.9961024163184084E-2</v>
      </c>
      <c r="F167" s="356">
        <v>0.22</v>
      </c>
      <c r="G167" s="1" t="s">
        <v>358</v>
      </c>
    </row>
    <row r="168" spans="1:7" ht="16">
      <c r="A168" s="44" t="s">
        <v>751</v>
      </c>
      <c r="B168" s="50" t="s">
        <v>694</v>
      </c>
      <c r="C168" s="354">
        <v>1.8017718318052423E-2</v>
      </c>
      <c r="D168" s="342">
        <f t="shared" si="2"/>
        <v>7.7663161094946323E-2</v>
      </c>
      <c r="E168" s="356">
        <v>2.2163161094946322E-2</v>
      </c>
      <c r="F168" s="356">
        <v>0</v>
      </c>
      <c r="G168" s="1" t="s">
        <v>364</v>
      </c>
    </row>
    <row r="169" spans="1:7" ht="16">
      <c r="A169" s="44" t="s">
        <v>437</v>
      </c>
      <c r="B169" s="50" t="s">
        <v>693</v>
      </c>
      <c r="C169" s="354">
        <v>6.2094961435095908E-2</v>
      </c>
      <c r="D169" s="342">
        <f t="shared" si="2"/>
        <v>0.13188151563795059</v>
      </c>
      <c r="E169" s="356">
        <v>7.6381515637950578E-2</v>
      </c>
      <c r="F169" s="356">
        <v>0.3</v>
      </c>
      <c r="G169" s="1" t="s">
        <v>360</v>
      </c>
    </row>
    <row r="170" spans="1:7" ht="16">
      <c r="A170" s="44" t="s">
        <v>346</v>
      </c>
      <c r="B170" s="50" t="s">
        <v>701</v>
      </c>
      <c r="C170" s="354">
        <v>8.4591660577974931E-2</v>
      </c>
      <c r="D170" s="342">
        <f t="shared" si="2"/>
        <v>0.15955416310678189</v>
      </c>
      <c r="E170" s="356">
        <v>0.10405416310678188</v>
      </c>
      <c r="F170" s="356">
        <v>0.18</v>
      </c>
      <c r="G170" s="1" t="s">
        <v>359</v>
      </c>
    </row>
    <row r="171" spans="1:7" ht="16">
      <c r="A171" s="44" t="s">
        <v>347</v>
      </c>
      <c r="B171" s="50" t="s">
        <v>689</v>
      </c>
      <c r="C171" s="354">
        <v>5.5987260310332385E-3</v>
      </c>
      <c r="D171" s="342">
        <f t="shared" si="2"/>
        <v>6.2386857967356199E-2</v>
      </c>
      <c r="E171" s="356">
        <v>6.8868579673562009E-3</v>
      </c>
      <c r="F171" s="356">
        <v>0.55000000000000004</v>
      </c>
      <c r="G171" s="1" t="s">
        <v>365</v>
      </c>
    </row>
    <row r="172" spans="1:7" ht="16">
      <c r="A172" s="44" t="s">
        <v>348</v>
      </c>
      <c r="B172" s="50" t="s">
        <v>689</v>
      </c>
      <c r="C172" s="354">
        <v>5.5987260310332385E-3</v>
      </c>
      <c r="D172" s="342">
        <f t="shared" si="2"/>
        <v>6.2386857967356199E-2</v>
      </c>
      <c r="E172" s="356">
        <v>6.8868579673562009E-3</v>
      </c>
      <c r="F172" s="356">
        <v>0.19</v>
      </c>
      <c r="G172" s="1" t="s">
        <v>358</v>
      </c>
    </row>
    <row r="173" spans="1:7" ht="16">
      <c r="A173" s="44" t="s">
        <v>349</v>
      </c>
      <c r="B173" s="50" t="s">
        <v>695</v>
      </c>
      <c r="C173" s="354">
        <v>0</v>
      </c>
      <c r="D173" s="342">
        <f>B1</f>
        <v>5.5500000000000001E-2</v>
      </c>
      <c r="E173" s="356">
        <v>0</v>
      </c>
      <c r="F173" s="356">
        <v>0.25</v>
      </c>
      <c r="G173" s="1" t="s">
        <v>367</v>
      </c>
    </row>
    <row r="174" spans="1:7" ht="16">
      <c r="A174" s="44" t="s">
        <v>350</v>
      </c>
      <c r="B174" s="50" t="s">
        <v>692</v>
      </c>
      <c r="C174" s="354">
        <v>2.147874895541842E-2</v>
      </c>
      <c r="D174" s="342">
        <f t="shared" ref="D174:D179" si="3">$D$173+E174</f>
        <v>8.1920491474766516E-2</v>
      </c>
      <c r="E174" s="356">
        <v>2.6420491474766512E-2</v>
      </c>
      <c r="F174" s="356">
        <v>0.25</v>
      </c>
      <c r="G174" s="1" t="s">
        <v>361</v>
      </c>
    </row>
    <row r="175" spans="1:7" ht="16">
      <c r="A175" s="44" t="s">
        <v>351</v>
      </c>
      <c r="B175" s="50" t="s">
        <v>752</v>
      </c>
      <c r="C175" s="354">
        <v>0.18</v>
      </c>
      <c r="D175" s="342">
        <f t="shared" si="3"/>
        <v>0.27691366218902891</v>
      </c>
      <c r="E175" s="356">
        <v>0.22141366218902891</v>
      </c>
      <c r="F175" s="356">
        <v>0.34</v>
      </c>
      <c r="G175" s="1" t="s">
        <v>361</v>
      </c>
    </row>
    <row r="176" spans="1:7" ht="16">
      <c r="A176" s="44" t="s">
        <v>352</v>
      </c>
      <c r="B176" s="50" t="s">
        <v>699</v>
      </c>
      <c r="C176" s="354">
        <v>4.0616212479677498E-2</v>
      </c>
      <c r="D176" s="342">
        <f t="shared" si="3"/>
        <v>0.10546102416318409</v>
      </c>
      <c r="E176" s="356">
        <v>4.9961024163184084E-2</v>
      </c>
      <c r="F176" s="356">
        <v>0.2</v>
      </c>
      <c r="G176" s="1" t="s">
        <v>434</v>
      </c>
    </row>
    <row r="177" spans="1:7" ht="16">
      <c r="A177" s="355" t="s">
        <v>734</v>
      </c>
      <c r="B177" s="50" t="s">
        <v>100</v>
      </c>
      <c r="C177" s="287">
        <v>0.18</v>
      </c>
      <c r="D177" s="342">
        <f t="shared" si="3"/>
        <v>0.27691366218902891</v>
      </c>
      <c r="E177" s="3">
        <v>0.22141366218902891</v>
      </c>
      <c r="F177" s="287">
        <v>0.2</v>
      </c>
      <c r="G177" s="1" t="s">
        <v>360</v>
      </c>
    </row>
    <row r="178" spans="1:7" ht="16">
      <c r="A178" s="44" t="s">
        <v>353</v>
      </c>
      <c r="B178" s="50" t="s">
        <v>701</v>
      </c>
      <c r="C178" s="354">
        <v>8.4591660577974931E-2</v>
      </c>
      <c r="D178" s="342">
        <f t="shared" si="3"/>
        <v>0.15955416310678189</v>
      </c>
      <c r="E178" s="356">
        <v>0.10405416310678188</v>
      </c>
      <c r="F178" s="356">
        <v>0.35</v>
      </c>
      <c r="G178" s="1" t="s">
        <v>360</v>
      </c>
    </row>
    <row r="179" spans="1:7" ht="16">
      <c r="A179" s="355" t="s">
        <v>735</v>
      </c>
      <c r="B179" s="50" t="s">
        <v>100</v>
      </c>
      <c r="C179" s="287">
        <v>0.10159142870856677</v>
      </c>
      <c r="D179" s="342">
        <f t="shared" si="3"/>
        <v>0.18046516820766345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9.1011656903819543E-2</v>
      </c>
      <c r="C194" s="3">
        <v>2.694716799623581E-2</v>
      </c>
      <c r="D194" s="3">
        <v>0.29246787754291986</v>
      </c>
      <c r="E194" s="3">
        <v>3.551165690381955E-2</v>
      </c>
    </row>
    <row r="195" spans="1:5">
      <c r="A195" s="1" t="s">
        <v>738</v>
      </c>
      <c r="B195" s="3">
        <f t="shared" ref="B195:B201" si="4">$B$202+E195</f>
        <v>5.5523552295498525E-2</v>
      </c>
      <c r="C195" s="3">
        <v>1.8965754240544199E-5</v>
      </c>
      <c r="D195" s="3">
        <v>0.2804198999549754</v>
      </c>
      <c r="E195" s="3">
        <v>2.3552295498524556E-5</v>
      </c>
    </row>
    <row r="196" spans="1:5">
      <c r="A196" s="1" t="s">
        <v>739</v>
      </c>
      <c r="B196" s="3">
        <f t="shared" si="4"/>
        <v>0.10326101446405153</v>
      </c>
      <c r="C196" s="3">
        <v>2.0003293959688404E-2</v>
      </c>
      <c r="D196" s="3">
        <v>0.27150000000000002</v>
      </c>
      <c r="E196" s="3">
        <v>4.7761014464051524E-2</v>
      </c>
    </row>
    <row r="197" spans="1:5">
      <c r="A197" s="1" t="s">
        <v>301</v>
      </c>
      <c r="B197" s="3">
        <f t="shared" si="4"/>
        <v>6.5266816753705159E-2</v>
      </c>
      <c r="C197" s="3">
        <v>7.2151867346079935E-3</v>
      </c>
      <c r="D197" s="3">
        <v>0.30859999999999999</v>
      </c>
      <c r="E197" s="3">
        <v>9.7668167537051515E-3</v>
      </c>
    </row>
    <row r="198" spans="1:5">
      <c r="A198" s="1" t="s">
        <v>740</v>
      </c>
      <c r="B198" s="3">
        <f t="shared" si="4"/>
        <v>5.5500000000000001E-2</v>
      </c>
      <c r="C198" s="3">
        <v>0</v>
      </c>
      <c r="D198" s="3">
        <v>0.25</v>
      </c>
      <c r="E198" s="3">
        <v>0</v>
      </c>
    </row>
    <row r="199" spans="1:5">
      <c r="A199" s="1" t="s">
        <v>741</v>
      </c>
      <c r="B199" s="3">
        <f t="shared" si="4"/>
        <v>6.6999442653654429E-2</v>
      </c>
      <c r="C199" s="3">
        <v>8.2343942576401426E-3</v>
      </c>
      <c r="D199" s="3">
        <v>0.22294096728054036</v>
      </c>
      <c r="E199" s="3">
        <v>1.1499442653654421E-2</v>
      </c>
    </row>
    <row r="200" spans="1:5">
      <c r="A200" s="1" t="s">
        <v>742</v>
      </c>
      <c r="B200" s="3">
        <f t="shared" si="4"/>
        <v>8.1209166095167512E-2</v>
      </c>
      <c r="C200" s="3">
        <v>9.2733400523157868E-3</v>
      </c>
      <c r="D200" s="3">
        <v>0.26788870471142334</v>
      </c>
      <c r="E200" s="3">
        <v>2.5709166095167504E-2</v>
      </c>
    </row>
    <row r="201" spans="1:5">
      <c r="A201" s="1" t="s">
        <v>434</v>
      </c>
      <c r="B201" s="3">
        <f t="shared" si="4"/>
        <v>7.0246172674804472E-2</v>
      </c>
      <c r="C201" s="3">
        <v>7.8425317716042334E-3</v>
      </c>
      <c r="D201" s="3">
        <v>0.26650000000000001</v>
      </c>
      <c r="E201" s="3">
        <v>1.4746172674804476E-2</v>
      </c>
    </row>
    <row r="202" spans="1:5">
      <c r="A202" s="1" t="s">
        <v>367</v>
      </c>
      <c r="B202" s="350">
        <f>B1</f>
        <v>5.5500000000000001E-2</v>
      </c>
      <c r="C202" s="3">
        <v>0</v>
      </c>
      <c r="D202" s="3">
        <v>0.25</v>
      </c>
      <c r="E202" s="3">
        <v>0</v>
      </c>
    </row>
    <row r="204" spans="1:5">
      <c r="A204" s="1" t="s">
        <v>497</v>
      </c>
      <c r="B204" s="3">
        <f>B202+E204</f>
        <v>6.9800000000000001E-2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2</v>
      </c>
      <c r="D4" s="8"/>
      <c r="E4" s="8"/>
      <c r="F4" s="8"/>
      <c r="G4" s="8"/>
      <c r="H4" s="8"/>
      <c r="I4" s="8"/>
      <c r="J4" s="8"/>
    </row>
    <row r="5" spans="1:10" s="131" customFormat="1" ht="15" thickBot="1">
      <c r="A5" s="8" t="s">
        <v>218</v>
      </c>
      <c r="B5" s="8"/>
      <c r="C5" s="8"/>
      <c r="D5" s="8"/>
      <c r="E5" s="114"/>
      <c r="F5" s="121">
        <f>IF('Input sheet'!B14="Yes",'Input sheet'!B9+'Operating lease converter'!F32,'Input sheet'!B9)</f>
        <v>357.4</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21.4</v>
      </c>
      <c r="G6" s="8" t="s">
        <v>221</v>
      </c>
      <c r="H6" s="8"/>
      <c r="I6" s="8"/>
      <c r="J6" s="8"/>
    </row>
    <row r="7" spans="1:10" s="131" customFormat="1" ht="15" thickBot="1">
      <c r="A7" s="8" t="s">
        <v>236</v>
      </c>
      <c r="B7" s="8"/>
      <c r="C7" s="8"/>
      <c r="D7" s="8"/>
      <c r="E7" s="8"/>
      <c r="F7" s="139">
        <f>'Input sheet'!B29</f>
        <v>1.67E-2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16.700934579439252</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475</v>
      </c>
      <c r="D11" s="142">
        <f>IF(C4=1,VLOOKUP(D9,A19:D33,4),(IF(C4=2,VLOOKUP(D9,A38:D52,4),VLOOKUP(D9,F19:I33,4))))</f>
        <v>7.4999999999999997E-3</v>
      </c>
      <c r="F11" s="16" t="s">
        <v>225</v>
      </c>
    </row>
    <row r="12" spans="1:10" s="131" customFormat="1" ht="15" thickBot="1">
      <c r="A12" s="8" t="s">
        <v>476</v>
      </c>
      <c r="D12" s="142">
        <f>VLOOKUP('Input sheet'!B5,'Country equity risk premiums'!A5:C179,3)</f>
        <v>5.5987260310332385E-3</v>
      </c>
      <c r="F12" s="16"/>
    </row>
    <row r="13" spans="1:10" s="8" customFormat="1" ht="15" thickBot="1">
      <c r="A13" s="8" t="s">
        <v>226</v>
      </c>
      <c r="D13" s="143">
        <f>F7+D11+D12</f>
        <v>2.9798726031033236E-2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9" zoomScale="125" zoomScaleNormal="125" workbookViewId="0">
      <selection activeCell="B34" sqref="B34"/>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0.05</v>
      </c>
      <c r="D2" s="90">
        <f>C2</f>
        <v>0.05</v>
      </c>
      <c r="E2" s="90">
        <f>D2</f>
        <v>0.05</v>
      </c>
      <c r="F2" s="90">
        <f>E2</f>
        <v>0.05</v>
      </c>
      <c r="G2" s="90">
        <f>F2</f>
        <v>0.05</v>
      </c>
      <c r="H2" s="90">
        <f>G2-((G2-$M$2)/5)</f>
        <v>4.3340000000000004E-2</v>
      </c>
      <c r="I2" s="90">
        <f>G2-((G2-$M$2)/5)*2</f>
        <v>3.6680000000000004E-2</v>
      </c>
      <c r="J2" s="90">
        <f>G2-((G2-$M$2)/5)*3</f>
        <v>3.0019999999999998E-2</v>
      </c>
      <c r="K2" s="90">
        <f>G2-((G2-$M$2)/5)*4</f>
        <v>2.3359999999999999E-2</v>
      </c>
      <c r="L2" s="90">
        <f>G2-((G2-$M$2)/5)*5</f>
        <v>1.67E-2</v>
      </c>
      <c r="M2" s="91">
        <f>IF('Input sheet'!B56="Yes",'Input sheet'!B57,'Input sheet'!B29)</f>
        <v>1.67E-2</v>
      </c>
    </row>
    <row r="3" spans="1:14" ht="15" customHeight="1">
      <c r="A3" s="45" t="s">
        <v>11</v>
      </c>
      <c r="B3" s="92">
        <f>'Input sheet'!B8</f>
        <v>1107.7</v>
      </c>
      <c r="C3" s="93">
        <f>B3*(1+C2)</f>
        <v>1163.085</v>
      </c>
      <c r="D3" s="93">
        <f t="shared" ref="D3:L3" si="0">C3*(1+D2)</f>
        <v>1221.2392500000001</v>
      </c>
      <c r="E3" s="93">
        <f t="shared" si="0"/>
        <v>1282.3012125000002</v>
      </c>
      <c r="F3" s="93">
        <f t="shared" si="0"/>
        <v>1346.4162731250003</v>
      </c>
      <c r="G3" s="93">
        <f t="shared" si="0"/>
        <v>1413.7370867812504</v>
      </c>
      <c r="H3" s="93">
        <f t="shared" si="0"/>
        <v>1475.0084521223496</v>
      </c>
      <c r="I3" s="93">
        <f t="shared" si="0"/>
        <v>1529.1117621461974</v>
      </c>
      <c r="J3" s="93">
        <f t="shared" si="0"/>
        <v>1575.0156972458262</v>
      </c>
      <c r="K3" s="93">
        <f t="shared" si="0"/>
        <v>1611.8080639334887</v>
      </c>
      <c r="L3" s="93">
        <f t="shared" si="0"/>
        <v>1638.725258601178</v>
      </c>
      <c r="M3" s="109">
        <f>L3*(1+M2)</f>
        <v>1666.0919704198175</v>
      </c>
    </row>
    <row r="4" spans="1:14" ht="15" customHeight="1">
      <c r="A4" s="45" t="s">
        <v>26</v>
      </c>
      <c r="B4" s="94">
        <f>B5/B3</f>
        <v>0.32265053714904757</v>
      </c>
      <c r="C4" s="90">
        <f>IF(C1&gt;'Input sheet'!$B$26,'Input sheet'!$B$25,'Input sheet'!$B$25-(('Input sheet'!$B$25-$B$4)/'Input sheet'!$B$26)*('Input sheet'!$B$26-C1))</f>
        <v>0.31812042971923804</v>
      </c>
      <c r="D4" s="90">
        <f>IF(D1&gt;'Input sheet'!$B$26,'Input sheet'!$B$25,'Input sheet'!$B$25-(('Input sheet'!$B$25-$B$4)/'Input sheet'!$B$26)*('Input sheet'!$B$26-D1))</f>
        <v>0.31359032228942851</v>
      </c>
      <c r="E4" s="90">
        <f>IF(E1&gt;'Input sheet'!$B$26,'Input sheet'!$B$25,'Input sheet'!$B$25-(('Input sheet'!$B$25-$B$4)/'Input sheet'!$B$26)*('Input sheet'!$B$26-E1))</f>
        <v>0.30906021485961904</v>
      </c>
      <c r="F4" s="90">
        <f>IF(F1&gt;'Input sheet'!$B$26,'Input sheet'!$B$25,'Input sheet'!$B$25-(('Input sheet'!$B$25-$B$4)/'Input sheet'!$B$26)*('Input sheet'!$B$26-F1))</f>
        <v>0.30453010742980952</v>
      </c>
      <c r="G4" s="90">
        <f>IF(G1&gt;'Input sheet'!$B$26,'Input sheet'!$B$25,'Input sheet'!$B$25-(('Input sheet'!$B$25-$B$4)/'Input sheet'!$B$26)*('Input sheet'!$B$26-G1))</f>
        <v>0.3</v>
      </c>
      <c r="H4" s="90">
        <f>IF(H1&gt;'Input sheet'!$B$26,'Input sheet'!$B$25,'Input sheet'!$B$25-(('Input sheet'!$B$25-$B$4)/'Input sheet'!$B$26)*('Input sheet'!$B$26-H1))</f>
        <v>0.3</v>
      </c>
      <c r="I4" s="90">
        <f>IF(I1&gt;'Input sheet'!$B$26,'Input sheet'!$B$25,'Input sheet'!$B$25-(('Input sheet'!$B$25-$B$4)/'Input sheet'!$B$26)*('Input sheet'!$B$26-I1))</f>
        <v>0.3</v>
      </c>
      <c r="J4" s="90">
        <f>IF(J1&gt;'Input sheet'!$B$26,'Input sheet'!$B$25,'Input sheet'!$B$25-(('Input sheet'!$B$25-$B$4)/'Input sheet'!$B$26)*('Input sheet'!$B$26-J1))</f>
        <v>0.3</v>
      </c>
      <c r="K4" s="90">
        <f>IF(K1&gt;'Input sheet'!$B$26,'Input sheet'!$B$25,'Input sheet'!$B$25-(('Input sheet'!$B$25-$B$4)/'Input sheet'!$B$26)*('Input sheet'!$B$26-K1))</f>
        <v>0.3</v>
      </c>
      <c r="L4" s="90">
        <f>IF(L1&gt;'Input sheet'!$B$26,'Input sheet'!$B$25,'Input sheet'!$B$25-(('Input sheet'!$B$25-$B$4)/'Input sheet'!$B$26)*('Input sheet'!$B$26-L1))</f>
        <v>0.3</v>
      </c>
      <c r="M4" s="91">
        <f>L4</f>
        <v>0.3</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357.4</v>
      </c>
      <c r="C5" s="93">
        <f t="shared" ref="C5:M5" si="1">C4*C3</f>
        <v>370.00110000000001</v>
      </c>
      <c r="D5" s="93">
        <f t="shared" si="1"/>
        <v>382.96880999999996</v>
      </c>
      <c r="E5" s="93">
        <f t="shared" si="1"/>
        <v>396.30828825000009</v>
      </c>
      <c r="F5" s="93">
        <f t="shared" si="1"/>
        <v>410.02429230000007</v>
      </c>
      <c r="G5" s="93">
        <f t="shared" si="1"/>
        <v>424.1211260343751</v>
      </c>
      <c r="H5" s="93">
        <f t="shared" si="1"/>
        <v>442.50253563670486</v>
      </c>
      <c r="I5" s="93">
        <f t="shared" si="1"/>
        <v>458.73352864385919</v>
      </c>
      <c r="J5" s="93">
        <f t="shared" si="1"/>
        <v>472.50470917374787</v>
      </c>
      <c r="K5" s="93">
        <f t="shared" si="1"/>
        <v>483.54241918004658</v>
      </c>
      <c r="L5" s="93">
        <f t="shared" si="1"/>
        <v>491.61757758035338</v>
      </c>
      <c r="M5" s="109">
        <f t="shared" si="1"/>
        <v>499.82759112594522</v>
      </c>
      <c r="N5" s="111">
        <f>M5-B5</f>
        <v>142.42759112594524</v>
      </c>
    </row>
    <row r="6" spans="1:14" ht="15" customHeight="1">
      <c r="A6" s="45" t="s">
        <v>142</v>
      </c>
      <c r="B6" s="95">
        <f>'Input sheet'!B21</f>
        <v>0.17699999999999999</v>
      </c>
      <c r="C6" s="96">
        <f>B6</f>
        <v>0.17699999999999999</v>
      </c>
      <c r="D6" s="96">
        <f>C6</f>
        <v>0.17699999999999999</v>
      </c>
      <c r="E6" s="96">
        <f>D6</f>
        <v>0.17699999999999999</v>
      </c>
      <c r="F6" s="96">
        <f>E6</f>
        <v>0.17699999999999999</v>
      </c>
      <c r="G6" s="96">
        <f>F6</f>
        <v>0.17699999999999999</v>
      </c>
      <c r="H6" s="96">
        <f>G6+($M$6-$G$6)/5</f>
        <v>0.19159999999999999</v>
      </c>
      <c r="I6" s="96">
        <f>H6+($M$6-$G$6)/5</f>
        <v>0.20619999999999999</v>
      </c>
      <c r="J6" s="96">
        <f>I6+($M$6-$G$6)/5</f>
        <v>0.2208</v>
      </c>
      <c r="K6" s="96">
        <f>J6+($M$6-$G$6)/5</f>
        <v>0.2354</v>
      </c>
      <c r="L6" s="96">
        <f>K6+($M$6-$G$6)/5</f>
        <v>0.25</v>
      </c>
      <c r="M6" s="96">
        <f>IF('Input sheet'!B51="Yes",'Input sheet'!B21,'Input sheet'!B22)</f>
        <v>0.25</v>
      </c>
    </row>
    <row r="7" spans="1:14" ht="15" customHeight="1">
      <c r="A7" s="45" t="s">
        <v>12</v>
      </c>
      <c r="B7" s="92">
        <f>IF(B5&gt;0,B5*(1-B6),B5)</f>
        <v>294.14019999999999</v>
      </c>
      <c r="C7" s="93">
        <f>IF(C5&gt;0,IF(C5&lt;B10,C5,C5-(C5-B10)*C6),C5)</f>
        <v>304.51090529999999</v>
      </c>
      <c r="D7" s="93">
        <f t="shared" ref="D7:L7" si="2">IF(D5&gt;0,IF(D5&lt;C10,D5,D5-(D5-C10)*D6),D5)</f>
        <v>315.18333063</v>
      </c>
      <c r="E7" s="93">
        <f t="shared" si="2"/>
        <v>326.16172122975007</v>
      </c>
      <c r="F7" s="93">
        <f t="shared" si="2"/>
        <v>337.44999256290009</v>
      </c>
      <c r="G7" s="93">
        <f t="shared" si="2"/>
        <v>349.05168672629071</v>
      </c>
      <c r="H7" s="93">
        <f t="shared" si="2"/>
        <v>357.71904980871221</v>
      </c>
      <c r="I7" s="93">
        <f t="shared" si="2"/>
        <v>364.14267503749545</v>
      </c>
      <c r="J7" s="93">
        <f t="shared" si="2"/>
        <v>368.17566938818436</v>
      </c>
      <c r="K7" s="93">
        <f t="shared" si="2"/>
        <v>369.71653370506363</v>
      </c>
      <c r="L7" s="93">
        <f t="shared" si="2"/>
        <v>368.71318318526505</v>
      </c>
      <c r="M7" s="93">
        <f>M5*(1-M6)</f>
        <v>374.87069334445891</v>
      </c>
    </row>
    <row r="8" spans="1:14" ht="15" customHeight="1">
      <c r="A8" s="45" t="s">
        <v>15</v>
      </c>
      <c r="B8" s="92"/>
      <c r="C8" s="93">
        <f t="shared" ref="C8:L8" si="3">(C3-B3)/C38</f>
        <v>39.789999999999985</v>
      </c>
      <c r="D8" s="93">
        <f t="shared" si="3"/>
        <v>41.779500000000027</v>
      </c>
      <c r="E8" s="93">
        <f t="shared" si="3"/>
        <v>43.86847500000011</v>
      </c>
      <c r="F8" s="93">
        <f t="shared" si="3"/>
        <v>46.061898750000047</v>
      </c>
      <c r="G8" s="93">
        <f t="shared" si="3"/>
        <v>48.364993687500025</v>
      </c>
      <c r="H8" s="93">
        <f t="shared" si="3"/>
        <v>44.018915354741139</v>
      </c>
      <c r="I8" s="93">
        <f t="shared" si="3"/>
        <v>38.869201152819443</v>
      </c>
      <c r="J8" s="93">
        <f t="shared" si="3"/>
        <v>32.978560578030709</v>
      </c>
      <c r="K8" s="93">
        <f t="shared" si="3"/>
        <v>26.432576880059401</v>
      </c>
      <c r="L8" s="93">
        <f t="shared" si="3"/>
        <v>19.338000827432626</v>
      </c>
      <c r="M8" s="97">
        <f>IF(M2&gt;0,(M2/M40)*M7,0)</f>
        <v>101.46419090522627</v>
      </c>
      <c r="N8" s="111">
        <f>SUM(C8:M8)</f>
        <v>482.96631313580986</v>
      </c>
    </row>
    <row r="9" spans="1:14" ht="15" customHeight="1">
      <c r="A9" s="45" t="s">
        <v>16</v>
      </c>
      <c r="B9" s="92"/>
      <c r="C9" s="93">
        <f t="shared" ref="C9:L9" si="4">C7-C8</f>
        <v>264.72090530000003</v>
      </c>
      <c r="D9" s="93">
        <f t="shared" si="4"/>
        <v>273.40383062999996</v>
      </c>
      <c r="E9" s="93">
        <f t="shared" si="4"/>
        <v>282.29324622974997</v>
      </c>
      <c r="F9" s="93">
        <f t="shared" si="4"/>
        <v>291.38809381290002</v>
      </c>
      <c r="G9" s="93">
        <f t="shared" si="4"/>
        <v>300.68669303879068</v>
      </c>
      <c r="H9" s="93">
        <f t="shared" si="4"/>
        <v>313.70013445397109</v>
      </c>
      <c r="I9" s="93">
        <f t="shared" si="4"/>
        <v>325.27347388467604</v>
      </c>
      <c r="J9" s="93">
        <f t="shared" si="4"/>
        <v>335.19710881015362</v>
      </c>
      <c r="K9" s="93">
        <f t="shared" si="4"/>
        <v>343.28395682500422</v>
      </c>
      <c r="L9" s="93">
        <f t="shared" si="4"/>
        <v>349.37518235783244</v>
      </c>
      <c r="M9" s="97">
        <f>M7-M8</f>
        <v>273.40650243923267</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0.10714105571586939</v>
      </c>
      <c r="D12" s="90">
        <f>C12</f>
        <v>0.10714105571586939</v>
      </c>
      <c r="E12" s="90">
        <f>D12</f>
        <v>0.10714105571586939</v>
      </c>
      <c r="F12" s="90">
        <f>E12</f>
        <v>0.10714105571586939</v>
      </c>
      <c r="G12" s="90">
        <f>F12</f>
        <v>0.10714105571586939</v>
      </c>
      <c r="H12" s="90">
        <f>G12-($G$12-$M$12)/5</f>
        <v>9.8052844572695516E-2</v>
      </c>
      <c r="I12" s="90">
        <f>H12-($G$12-$M$12)/5</f>
        <v>8.8964633429521642E-2</v>
      </c>
      <c r="J12" s="90">
        <f>I12-($G$12-$M$12)/5</f>
        <v>7.9876422286347767E-2</v>
      </c>
      <c r="K12" s="90">
        <f>J12-($G$12-$M$12)/5</f>
        <v>7.0788211143173893E-2</v>
      </c>
      <c r="L12" s="90">
        <f>K12-($G$12-$M$12)/5</f>
        <v>6.1700000000000019E-2</v>
      </c>
      <c r="M12" s="91">
        <f>IF('Input sheet'!B40="Yes",'Input sheet'!B41,'Input sheet'!B29+0.045)</f>
        <v>6.1699999999999998E-2</v>
      </c>
    </row>
    <row r="13" spans="1:14" ht="15" customHeight="1">
      <c r="A13" s="46" t="s">
        <v>149</v>
      </c>
      <c r="B13" s="89"/>
      <c r="C13" s="153">
        <f>1/(1+C12)</f>
        <v>0.90322727608850817</v>
      </c>
      <c r="D13" s="153">
        <f>C13*(1/(1+D12))</f>
        <v>0.81581951227026617</v>
      </c>
      <c r="E13" s="153">
        <f t="shared" ref="E13:L13" si="6">D13*(1/(1+E12))</f>
        <v>0.73687043584772782</v>
      </c>
      <c r="F13" s="153">
        <f t="shared" si="6"/>
        <v>0.66556147660089504</v>
      </c>
      <c r="G13" s="153">
        <f t="shared" si="6"/>
        <v>0.6011532795796718</v>
      </c>
      <c r="H13" s="153">
        <f t="shared" si="6"/>
        <v>0.5474720843818851</v>
      </c>
      <c r="I13" s="153">
        <f t="shared" si="6"/>
        <v>0.5027455140188607</v>
      </c>
      <c r="J13" s="153">
        <f t="shared" si="6"/>
        <v>0.46555837653574506</v>
      </c>
      <c r="K13" s="153">
        <f t="shared" si="6"/>
        <v>0.43478100682366944</v>
      </c>
      <c r="L13" s="153">
        <f t="shared" si="6"/>
        <v>0.40951399342909428</v>
      </c>
      <c r="M13" s="98"/>
    </row>
    <row r="14" spans="1:14" ht="15" customHeight="1">
      <c r="A14" s="46" t="s">
        <v>21</v>
      </c>
      <c r="B14" s="89"/>
      <c r="C14" s="93">
        <f t="shared" ref="C14:L14" si="7">C9*C13</f>
        <v>239.10314221780294</v>
      </c>
      <c r="D14" s="93">
        <f t="shared" si="7"/>
        <v>223.04817975738902</v>
      </c>
      <c r="E14" s="93">
        <f t="shared" si="7"/>
        <v>208.01354738618582</v>
      </c>
      <c r="F14" s="93">
        <f t="shared" si="7"/>
        <v>193.93668998203387</v>
      </c>
      <c r="G14" s="93">
        <f t="shared" si="7"/>
        <v>180.7587916462351</v>
      </c>
      <c r="H14" s="93">
        <f t="shared" si="7"/>
        <v>171.74206648039316</v>
      </c>
      <c r="I14" s="93">
        <f t="shared" si="7"/>
        <v>163.52977982485191</v>
      </c>
      <c r="J14" s="93">
        <f t="shared" si="7"/>
        <v>156.05382179713061</v>
      </c>
      <c r="K14" s="93">
        <f t="shared" si="7"/>
        <v>149.25334437478841</v>
      </c>
      <c r="L14" s="93">
        <f t="shared" si="7"/>
        <v>143.074026132374</v>
      </c>
      <c r="M14" s="98"/>
    </row>
    <row r="15" spans="1:14" ht="15" customHeight="1">
      <c r="A15" s="46"/>
      <c r="B15" s="45"/>
      <c r="C15" s="51"/>
      <c r="D15" s="51"/>
      <c r="E15" s="51"/>
      <c r="F15" s="51"/>
      <c r="G15" s="51"/>
      <c r="H15" s="51"/>
      <c r="I15" s="51"/>
      <c r="J15" s="51"/>
      <c r="K15" s="51"/>
      <c r="L15" s="51"/>
    </row>
    <row r="16" spans="1:14" ht="15" customHeight="1">
      <c r="A16" s="48" t="s">
        <v>22</v>
      </c>
      <c r="B16" s="92">
        <f>M9</f>
        <v>273.40650243923267</v>
      </c>
      <c r="C16" s="51"/>
      <c r="D16" s="51"/>
      <c r="E16" s="51"/>
      <c r="F16" s="51"/>
      <c r="G16" s="51"/>
      <c r="H16" s="51"/>
      <c r="I16" s="51"/>
      <c r="J16" s="51"/>
      <c r="K16" s="51"/>
      <c r="L16" s="51"/>
    </row>
    <row r="17" spans="1:12" ht="15" customHeight="1">
      <c r="A17" s="48" t="s">
        <v>144</v>
      </c>
      <c r="B17" s="94">
        <f>M12</f>
        <v>6.1699999999999998E-2</v>
      </c>
      <c r="C17" s="51"/>
      <c r="D17" s="51"/>
      <c r="E17" s="51"/>
      <c r="F17" s="51"/>
      <c r="G17" s="51"/>
      <c r="H17" s="51"/>
      <c r="I17" s="51"/>
      <c r="J17" s="51"/>
      <c r="K17" s="51"/>
      <c r="L17" s="51"/>
    </row>
    <row r="18" spans="1:12">
      <c r="A18" s="48" t="s">
        <v>23</v>
      </c>
      <c r="B18" s="92">
        <f>B16/(B17-M2)</f>
        <v>6075.700054205171</v>
      </c>
      <c r="C18" s="51"/>
      <c r="D18" s="154"/>
      <c r="E18" s="51"/>
      <c r="F18" s="51"/>
      <c r="G18" s="51"/>
      <c r="H18" s="51"/>
      <c r="I18" s="51"/>
      <c r="J18" s="51"/>
      <c r="K18" s="51"/>
      <c r="L18" s="51"/>
    </row>
    <row r="19" spans="1:12">
      <c r="A19" s="48" t="s">
        <v>24</v>
      </c>
      <c r="B19" s="99">
        <f>B18*L13</f>
        <v>2488.084192074924</v>
      </c>
      <c r="C19" s="51"/>
      <c r="D19" s="51"/>
      <c r="E19" s="51"/>
      <c r="F19" s="51"/>
      <c r="G19" s="51"/>
      <c r="H19" s="51"/>
      <c r="I19" s="51"/>
      <c r="J19" s="51"/>
      <c r="K19" s="51"/>
      <c r="L19" s="51"/>
    </row>
    <row r="20" spans="1:12">
      <c r="A20" s="48" t="s">
        <v>46</v>
      </c>
      <c r="B20" s="99">
        <f>SUM(C14:L14)</f>
        <v>1828.5133895991848</v>
      </c>
      <c r="C20" s="51"/>
      <c r="D20" s="51"/>
      <c r="E20" s="51"/>
      <c r="F20" s="51"/>
      <c r="G20" s="51"/>
      <c r="H20" s="51"/>
      <c r="I20" s="51"/>
      <c r="J20" s="51"/>
      <c r="K20" s="51"/>
      <c r="L20" s="51"/>
    </row>
    <row r="21" spans="1:12">
      <c r="A21" s="48" t="s">
        <v>47</v>
      </c>
      <c r="B21" s="99">
        <f>B19+B20</f>
        <v>4316.5975816741084</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2158.2987908370542</v>
      </c>
      <c r="C23" s="51"/>
      <c r="D23" s="51"/>
      <c r="E23" s="51"/>
      <c r="F23" s="51"/>
      <c r="G23" s="51"/>
      <c r="H23" s="51"/>
      <c r="I23" s="51"/>
      <c r="J23" s="51"/>
      <c r="K23" s="51"/>
      <c r="L23" s="51"/>
    </row>
    <row r="24" spans="1:12">
      <c r="A24" s="48" t="s">
        <v>44</v>
      </c>
      <c r="B24" s="92">
        <f>B21*(1-B22)+B23*B22</f>
        <v>4316.5975816741084</v>
      </c>
      <c r="C24" s="51"/>
      <c r="D24" s="51"/>
      <c r="E24" s="51"/>
      <c r="F24" s="51"/>
      <c r="G24" s="51"/>
      <c r="H24" s="51"/>
      <c r="I24" s="51"/>
      <c r="J24" s="51"/>
      <c r="K24" s="51"/>
      <c r="L24" s="51"/>
    </row>
    <row r="25" spans="1:12">
      <c r="A25" s="48" t="s">
        <v>392</v>
      </c>
      <c r="B25" s="92">
        <f>IF('Input sheet'!B14="Yes",'Input sheet'!B12+'Operating lease converter'!C28,'Input sheet'!B12)+'Input sheet'!B18</f>
        <v>323.8</v>
      </c>
      <c r="C25" s="51"/>
      <c r="D25" s="51"/>
      <c r="E25" s="51"/>
      <c r="F25" s="51"/>
      <c r="G25" s="51"/>
      <c r="H25" s="51"/>
      <c r="I25" s="51"/>
      <c r="J25" s="51"/>
      <c r="K25" s="51"/>
      <c r="L25" s="51"/>
    </row>
    <row r="26" spans="1:12">
      <c r="A26" s="48" t="s">
        <v>394</v>
      </c>
      <c r="B26" s="92">
        <f>'Input sheet'!B17</f>
        <v>243</v>
      </c>
      <c r="C26" s="51"/>
      <c r="D26" s="51"/>
      <c r="E26" s="51"/>
      <c r="F26" s="51"/>
      <c r="G26" s="51"/>
      <c r="H26" s="51"/>
      <c r="I26" s="51"/>
      <c r="J26" s="51"/>
      <c r="K26" s="51"/>
      <c r="L26" s="51"/>
    </row>
    <row r="27" spans="1:12">
      <c r="A27" s="48" t="s">
        <v>391</v>
      </c>
      <c r="B27" s="92">
        <f>IF('Input sheet'!B59="YES",'Input sheet'!B15-'Input sheet'!B60*('Input sheet'!B22-'Input sheet'!B61),'Input sheet'!B15)</f>
        <v>451</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4200.7975816741082</v>
      </c>
      <c r="C29" s="51"/>
      <c r="D29" s="51"/>
      <c r="E29" s="51"/>
      <c r="F29" s="51"/>
      <c r="G29" s="51"/>
      <c r="H29" s="51"/>
      <c r="I29" s="51"/>
      <c r="J29" s="51"/>
      <c r="K29" s="51"/>
      <c r="L29" s="51"/>
    </row>
    <row r="30" spans="1:12">
      <c r="A30" s="48" t="s">
        <v>60</v>
      </c>
      <c r="B30" s="102">
        <f ca="1">IF('Input sheet'!B32="No",0,'Option value'!D27)</f>
        <v>17.341889326152973</v>
      </c>
      <c r="C30" s="51"/>
      <c r="D30" s="51"/>
      <c r="E30" s="51"/>
      <c r="F30" s="51"/>
      <c r="G30" s="51"/>
      <c r="H30" s="51"/>
      <c r="I30" s="51"/>
      <c r="J30" s="51"/>
      <c r="K30" s="51"/>
      <c r="L30" s="51"/>
    </row>
    <row r="31" spans="1:12">
      <c r="A31" s="48" t="s">
        <v>61</v>
      </c>
      <c r="B31" s="99">
        <f ca="1">B29-B30</f>
        <v>4183.4556923479549</v>
      </c>
      <c r="C31" s="51"/>
      <c r="D31" s="51"/>
      <c r="E31" s="51"/>
      <c r="F31" s="51"/>
      <c r="G31" s="51"/>
      <c r="H31" s="51"/>
      <c r="I31" s="51"/>
      <c r="J31" s="51"/>
      <c r="K31" s="51"/>
      <c r="L31" s="51"/>
    </row>
    <row r="32" spans="1:12">
      <c r="A32" s="48" t="s">
        <v>13</v>
      </c>
      <c r="B32" s="103">
        <f>'Input sheet'!B19</f>
        <v>3125.7</v>
      </c>
      <c r="C32" s="51"/>
      <c r="D32" s="51"/>
      <c r="E32" s="51"/>
      <c r="F32" s="51"/>
      <c r="G32" s="51"/>
      <c r="H32" s="51"/>
      <c r="I32" s="51"/>
      <c r="J32" s="51"/>
      <c r="K32" s="51"/>
      <c r="L32" s="51"/>
    </row>
    <row r="33" spans="1:13">
      <c r="A33" s="48" t="s">
        <v>96</v>
      </c>
      <c r="B33" s="104">
        <f ca="1">B31/B32</f>
        <v>1.3384060186031785</v>
      </c>
      <c r="C33" s="51"/>
      <c r="D33" s="51"/>
      <c r="E33" s="51"/>
      <c r="F33" s="51"/>
      <c r="G33" s="51"/>
      <c r="H33" s="51"/>
      <c r="I33" s="51"/>
      <c r="J33" s="51"/>
      <c r="K33" s="51"/>
      <c r="L33" s="51"/>
    </row>
    <row r="34" spans="1:13">
      <c r="A34" s="48" t="s">
        <v>103</v>
      </c>
      <c r="B34" s="105">
        <f>'Input sheet'!B20</f>
        <v>0.58399999999999996</v>
      </c>
      <c r="C34" s="51"/>
      <c r="D34" s="51"/>
      <c r="E34" s="51"/>
      <c r="F34" s="51"/>
      <c r="G34" s="51"/>
      <c r="H34" s="51"/>
      <c r="I34" s="51"/>
      <c r="J34" s="51"/>
      <c r="K34" s="51"/>
      <c r="L34" s="51"/>
    </row>
    <row r="35" spans="1:13">
      <c r="A35" s="48" t="s">
        <v>52</v>
      </c>
      <c r="B35" s="95">
        <f ca="1">B34/B33</f>
        <v>0.43633993861555476</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1.3919326463935664</v>
      </c>
      <c r="D38" s="106">
        <f>C38</f>
        <v>1.3919326463935664</v>
      </c>
      <c r="E38" s="106">
        <f t="shared" ref="E38:L38" si="8">D38</f>
        <v>1.3919326463935664</v>
      </c>
      <c r="F38" s="106">
        <f t="shared" si="8"/>
        <v>1.3919326463935664</v>
      </c>
      <c r="G38" s="106">
        <f t="shared" si="8"/>
        <v>1.3919326463935664</v>
      </c>
      <c r="H38" s="106">
        <f t="shared" si="8"/>
        <v>1.3919326463935664</v>
      </c>
      <c r="I38" s="106">
        <f t="shared" si="8"/>
        <v>1.3919326463935664</v>
      </c>
      <c r="J38" s="106">
        <f t="shared" si="8"/>
        <v>1.3919326463935664</v>
      </c>
      <c r="K38" s="106">
        <f t="shared" si="8"/>
        <v>1.3919326463935664</v>
      </c>
      <c r="L38" s="106">
        <f t="shared" si="8"/>
        <v>1.3919326463935664</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795.8</v>
      </c>
      <c r="C39" s="108">
        <f t="shared" ref="C39:L39" si="9">B39+C8</f>
        <v>835.58999999999992</v>
      </c>
      <c r="D39" s="108">
        <f t="shared" si="9"/>
        <v>877.3694999999999</v>
      </c>
      <c r="E39" s="108">
        <f t="shared" si="9"/>
        <v>921.23797500000001</v>
      </c>
      <c r="F39" s="108">
        <f t="shared" si="9"/>
        <v>967.29987375000007</v>
      </c>
      <c r="G39" s="108">
        <f t="shared" si="9"/>
        <v>1015.6648674375001</v>
      </c>
      <c r="H39" s="108">
        <f t="shared" si="9"/>
        <v>1059.6837827922413</v>
      </c>
      <c r="I39" s="108">
        <f t="shared" si="9"/>
        <v>1098.5529839450608</v>
      </c>
      <c r="J39" s="108">
        <f t="shared" si="9"/>
        <v>1131.5315445230915</v>
      </c>
      <c r="K39" s="108">
        <f t="shared" si="9"/>
        <v>1157.9641214031508</v>
      </c>
      <c r="L39" s="108">
        <f t="shared" si="9"/>
        <v>1177.3021222305833</v>
      </c>
      <c r="M39" s="98"/>
    </row>
    <row r="40" spans="1:13">
      <c r="A40" s="44" t="s">
        <v>19</v>
      </c>
      <c r="B40" s="94">
        <f t="shared" ref="B40:L40" si="10">B7/B39</f>
        <v>0.36961573259612968</v>
      </c>
      <c r="C40" s="90">
        <f t="shared" si="10"/>
        <v>0.36442622015581805</v>
      </c>
      <c r="D40" s="90">
        <f t="shared" si="10"/>
        <v>0.35923670771550648</v>
      </c>
      <c r="E40" s="90">
        <f t="shared" si="10"/>
        <v>0.35404719527519485</v>
      </c>
      <c r="F40" s="90">
        <f t="shared" si="10"/>
        <v>0.34885768283488322</v>
      </c>
      <c r="G40" s="90">
        <f t="shared" si="10"/>
        <v>0.34366817039457154</v>
      </c>
      <c r="H40" s="90">
        <f t="shared" si="10"/>
        <v>0.33757150540336767</v>
      </c>
      <c r="I40" s="90">
        <f t="shared" si="10"/>
        <v>0.33147484041216391</v>
      </c>
      <c r="J40" s="90">
        <f t="shared" si="10"/>
        <v>0.32537817542096009</v>
      </c>
      <c r="K40" s="90">
        <f t="shared" si="10"/>
        <v>0.31928151042975628</v>
      </c>
      <c r="L40" s="110">
        <f t="shared" si="10"/>
        <v>0.31318484543855246</v>
      </c>
      <c r="M40" s="90">
        <f>IF('Input sheet'!B43="Yes",'Input sheet'!B44,'Valuation output'!L12)</f>
        <v>6.1700000000000019E-2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I44" sqref="I44"/>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me2on</v>
      </c>
      <c r="B1" s="419"/>
      <c r="C1" s="419"/>
      <c r="D1" s="419"/>
      <c r="E1" s="419"/>
      <c r="F1" s="419"/>
      <c r="G1" s="419"/>
    </row>
    <row r="2" spans="1:11">
      <c r="A2" s="420" t="s">
        <v>629</v>
      </c>
      <c r="B2" s="420"/>
      <c r="C2" s="420"/>
      <c r="D2" s="420"/>
      <c r="E2" s="420"/>
      <c r="F2" s="420"/>
      <c r="G2" s="420"/>
    </row>
    <row r="3" spans="1:11" ht="16" customHeight="1">
      <c r="A3" s="373" t="s">
        <v>757</v>
      </c>
      <c r="B3" s="374"/>
      <c r="C3" s="374"/>
      <c r="D3" s="374"/>
      <c r="E3" s="374"/>
      <c r="F3" s="374"/>
      <c r="G3" s="375"/>
      <c r="H3" s="382" t="s">
        <v>654</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630</v>
      </c>
      <c r="B7" s="422"/>
      <c r="C7" s="422"/>
      <c r="D7" s="422"/>
      <c r="E7" s="422"/>
      <c r="F7" s="422"/>
      <c r="G7" s="423"/>
    </row>
    <row r="8" spans="1:11">
      <c r="A8" s="272"/>
      <c r="B8" s="267" t="s">
        <v>631</v>
      </c>
      <c r="C8" s="268" t="s">
        <v>632</v>
      </c>
      <c r="D8" s="267" t="s">
        <v>633</v>
      </c>
      <c r="E8" s="267"/>
      <c r="F8" s="267" t="s">
        <v>43</v>
      </c>
      <c r="G8" s="269" t="s">
        <v>640</v>
      </c>
    </row>
    <row r="9" spans="1:11">
      <c r="A9" s="273" t="s">
        <v>641</v>
      </c>
      <c r="B9" s="274">
        <f>'Valuation output'!B3</f>
        <v>1107.7</v>
      </c>
      <c r="C9" s="275">
        <f>'Input sheet'!B24</f>
        <v>0.05</v>
      </c>
      <c r="D9" s="275">
        <f>F9</f>
        <v>1.67E-2</v>
      </c>
      <c r="E9" s="276"/>
      <c r="F9" s="275">
        <f>'Valuation output'!M2</f>
        <v>1.67E-2</v>
      </c>
      <c r="G9" s="299" t="s">
        <v>758</v>
      </c>
      <c r="H9" s="391" t="s">
        <v>655</v>
      </c>
      <c r="I9" s="392"/>
      <c r="J9" s="392"/>
      <c r="K9" s="393"/>
    </row>
    <row r="10" spans="1:11">
      <c r="A10" s="273" t="s">
        <v>642</v>
      </c>
      <c r="B10" s="275">
        <f>'Valuation output'!B4</f>
        <v>0.32265053714904757</v>
      </c>
      <c r="C10" s="277">
        <f>B10</f>
        <v>0.32265053714904757</v>
      </c>
      <c r="D10" s="278">
        <f>F10</f>
        <v>0.3</v>
      </c>
      <c r="E10" s="278"/>
      <c r="F10" s="275">
        <f>'Valuation output'!M4</f>
        <v>0.3</v>
      </c>
      <c r="G10" s="304" t="s">
        <v>759</v>
      </c>
      <c r="H10" s="394"/>
      <c r="I10" s="395"/>
      <c r="J10" s="395"/>
      <c r="K10" s="396"/>
    </row>
    <row r="11" spans="1:11">
      <c r="A11" s="273" t="s">
        <v>142</v>
      </c>
      <c r="B11" s="275">
        <f>'Valuation output'!B6</f>
        <v>0.17699999999999999</v>
      </c>
      <c r="C11" s="277">
        <f>B11</f>
        <v>0.17699999999999999</v>
      </c>
      <c r="D11" s="278">
        <f>F11</f>
        <v>0.25</v>
      </c>
      <c r="E11" s="278"/>
      <c r="F11" s="275">
        <f>'Valuation output'!M6</f>
        <v>0.25</v>
      </c>
      <c r="G11" s="304" t="s">
        <v>760</v>
      </c>
      <c r="H11" s="394"/>
      <c r="I11" s="395"/>
      <c r="J11" s="395"/>
      <c r="K11" s="396"/>
    </row>
    <row r="12" spans="1:11">
      <c r="A12" s="273" t="s">
        <v>643</v>
      </c>
      <c r="B12" s="276"/>
      <c r="C12" s="279" t="s">
        <v>647</v>
      </c>
      <c r="D12" s="280">
        <f>'Input sheet'!B27</f>
        <v>1.3919326463935664</v>
      </c>
      <c r="E12" s="281" t="s">
        <v>659</v>
      </c>
      <c r="F12" s="282">
        <f>'Valuation output'!M2/'Valuation output'!M40</f>
        <v>0.2706645056726093</v>
      </c>
      <c r="G12" s="304" t="s">
        <v>761</v>
      </c>
      <c r="H12" s="394"/>
      <c r="I12" s="395"/>
      <c r="J12" s="395"/>
      <c r="K12" s="396"/>
    </row>
    <row r="13" spans="1:11">
      <c r="A13" s="306" t="s">
        <v>657</v>
      </c>
      <c r="B13" s="310">
        <f>'Valuation output'!B40</f>
        <v>0.36961573259612968</v>
      </c>
      <c r="C13" s="313" t="s">
        <v>658</v>
      </c>
      <c r="D13" s="314">
        <f>Diagnostics!B6</f>
        <v>0.35181344941308368</v>
      </c>
      <c r="E13" s="307"/>
      <c r="F13" s="308">
        <f>'Valuation output'!M40</f>
        <v>6.1700000000000019E-2</v>
      </c>
      <c r="G13" s="309" t="s">
        <v>762</v>
      </c>
      <c r="H13" s="394"/>
      <c r="I13" s="395"/>
      <c r="J13" s="395"/>
      <c r="K13" s="396"/>
    </row>
    <row r="14" spans="1:11" ht="17" thickBot="1">
      <c r="A14" s="283" t="s">
        <v>644</v>
      </c>
      <c r="B14" s="311"/>
      <c r="C14" s="277">
        <f>'Valuation output'!C12</f>
        <v>0.10714105571586939</v>
      </c>
      <c r="D14" s="278">
        <f>F14</f>
        <v>6.1699999999999998E-2</v>
      </c>
      <c r="E14" s="312"/>
      <c r="F14" s="284">
        <f>'Valuation output'!M12</f>
        <v>6.1699999999999998E-2</v>
      </c>
      <c r="G14" s="305" t="s">
        <v>763</v>
      </c>
      <c r="H14" s="397"/>
      <c r="I14" s="398"/>
      <c r="J14" s="398"/>
      <c r="K14" s="399"/>
    </row>
    <row r="15" spans="1:11" ht="17" thickBot="1">
      <c r="A15" s="424" t="s">
        <v>635</v>
      </c>
      <c r="B15" s="424"/>
      <c r="C15" s="424"/>
      <c r="D15" s="424"/>
      <c r="E15" s="424"/>
      <c r="F15" s="424"/>
      <c r="G15" s="424"/>
    </row>
    <row r="16" spans="1:11">
      <c r="A16" s="266"/>
      <c r="B16" s="270" t="s">
        <v>11</v>
      </c>
      <c r="C16" s="270" t="s">
        <v>634</v>
      </c>
      <c r="D16" s="270" t="s">
        <v>648</v>
      </c>
      <c r="E16" s="270" t="s">
        <v>636</v>
      </c>
      <c r="F16" s="270" t="s">
        <v>645</v>
      </c>
      <c r="G16" s="316" t="s">
        <v>16</v>
      </c>
      <c r="H16" s="400" t="s">
        <v>656</v>
      </c>
      <c r="I16" s="401"/>
      <c r="J16" s="401"/>
      <c r="K16" s="402"/>
    </row>
    <row r="17" spans="1:11">
      <c r="A17" s="285">
        <v>1</v>
      </c>
      <c r="B17" s="286">
        <f>'Valuation output'!C3</f>
        <v>1163.085</v>
      </c>
      <c r="C17" s="287">
        <f>'Valuation output'!C4</f>
        <v>0.31812042971923804</v>
      </c>
      <c r="D17" s="274">
        <f>B17*C17</f>
        <v>370.00110000000001</v>
      </c>
      <c r="E17" s="286">
        <f>'Valuation output'!C7</f>
        <v>304.51090529999999</v>
      </c>
      <c r="F17" s="286">
        <f>'Valuation output'!C8</f>
        <v>39.789999999999985</v>
      </c>
      <c r="G17" s="317">
        <f>E17-F17</f>
        <v>264.72090530000003</v>
      </c>
      <c r="H17" s="403"/>
      <c r="I17" s="404"/>
      <c r="J17" s="404"/>
      <c r="K17" s="405"/>
    </row>
    <row r="18" spans="1:11">
      <c r="A18" s="285">
        <v>2</v>
      </c>
      <c r="B18" s="286">
        <f>'Valuation output'!D3</f>
        <v>1221.2392500000001</v>
      </c>
      <c r="C18" s="287">
        <f>'Valuation output'!D4</f>
        <v>0.31359032228942851</v>
      </c>
      <c r="D18" s="274">
        <f t="shared" ref="D18:D27" si="0">B18*C18</f>
        <v>382.96880999999996</v>
      </c>
      <c r="E18" s="286">
        <f>'Valuation output'!D7</f>
        <v>315.18333063</v>
      </c>
      <c r="F18" s="286">
        <f>'Valuation output'!D8</f>
        <v>41.779500000000027</v>
      </c>
      <c r="G18" s="317">
        <f t="shared" ref="G18:G27" si="1">E18-F18</f>
        <v>273.40383062999996</v>
      </c>
      <c r="H18" s="403"/>
      <c r="I18" s="404"/>
      <c r="J18" s="404"/>
      <c r="K18" s="405"/>
    </row>
    <row r="19" spans="1:11">
      <c r="A19" s="285">
        <v>3</v>
      </c>
      <c r="B19" s="286">
        <f>'Valuation output'!E3</f>
        <v>1282.3012125000002</v>
      </c>
      <c r="C19" s="287">
        <f>'Valuation output'!E4</f>
        <v>0.30906021485961904</v>
      </c>
      <c r="D19" s="274">
        <f t="shared" si="0"/>
        <v>396.30828825000009</v>
      </c>
      <c r="E19" s="286">
        <f>'Valuation output'!E7</f>
        <v>326.16172122975007</v>
      </c>
      <c r="F19" s="286">
        <f>'Valuation output'!E8</f>
        <v>43.86847500000011</v>
      </c>
      <c r="G19" s="317">
        <f t="shared" si="1"/>
        <v>282.29324622974997</v>
      </c>
      <c r="H19" s="403"/>
      <c r="I19" s="404"/>
      <c r="J19" s="404"/>
      <c r="K19" s="405"/>
    </row>
    <row r="20" spans="1:11">
      <c r="A20" s="285">
        <v>4</v>
      </c>
      <c r="B20" s="286">
        <f>'Valuation output'!F3</f>
        <v>1346.4162731250003</v>
      </c>
      <c r="C20" s="287">
        <f>'Valuation output'!F4</f>
        <v>0.30453010742980952</v>
      </c>
      <c r="D20" s="274">
        <f t="shared" si="0"/>
        <v>410.02429230000007</v>
      </c>
      <c r="E20" s="286">
        <f>'Valuation output'!F7</f>
        <v>337.44999256290009</v>
      </c>
      <c r="F20" s="286">
        <f>'Valuation output'!F8</f>
        <v>46.061898750000047</v>
      </c>
      <c r="G20" s="317">
        <f t="shared" si="1"/>
        <v>291.38809381290002</v>
      </c>
      <c r="H20" s="403"/>
      <c r="I20" s="404"/>
      <c r="J20" s="404"/>
      <c r="K20" s="405"/>
    </row>
    <row r="21" spans="1:11">
      <c r="A21" s="285">
        <v>5</v>
      </c>
      <c r="B21" s="286">
        <f>'Valuation output'!G3</f>
        <v>1413.7370867812504</v>
      </c>
      <c r="C21" s="287">
        <f>'Valuation output'!G4</f>
        <v>0.3</v>
      </c>
      <c r="D21" s="274">
        <f t="shared" si="0"/>
        <v>424.1211260343751</v>
      </c>
      <c r="E21" s="286">
        <f>'Valuation output'!G7</f>
        <v>349.05168672629071</v>
      </c>
      <c r="F21" s="286">
        <f>'Valuation output'!G8</f>
        <v>48.364993687500025</v>
      </c>
      <c r="G21" s="317">
        <f t="shared" si="1"/>
        <v>300.68669303879068</v>
      </c>
      <c r="H21" s="403"/>
      <c r="I21" s="404"/>
      <c r="J21" s="404"/>
      <c r="K21" s="405"/>
    </row>
    <row r="22" spans="1:11">
      <c r="A22" s="285">
        <v>6</v>
      </c>
      <c r="B22" s="286">
        <f>'Valuation output'!H3</f>
        <v>1475.0084521223496</v>
      </c>
      <c r="C22" s="287">
        <f>'Valuation output'!H4</f>
        <v>0.3</v>
      </c>
      <c r="D22" s="274">
        <f t="shared" si="0"/>
        <v>442.50253563670486</v>
      </c>
      <c r="E22" s="286">
        <f>'Valuation output'!H7</f>
        <v>357.71904980871221</v>
      </c>
      <c r="F22" s="286">
        <f>'Valuation output'!H8</f>
        <v>44.018915354741139</v>
      </c>
      <c r="G22" s="317">
        <f t="shared" si="1"/>
        <v>313.70013445397109</v>
      </c>
      <c r="H22" s="403"/>
      <c r="I22" s="404"/>
      <c r="J22" s="404"/>
      <c r="K22" s="405"/>
    </row>
    <row r="23" spans="1:11">
      <c r="A23" s="285">
        <v>7</v>
      </c>
      <c r="B23" s="286">
        <f>'Valuation output'!I3</f>
        <v>1529.1117621461974</v>
      </c>
      <c r="C23" s="287">
        <f>'Valuation output'!I4</f>
        <v>0.3</v>
      </c>
      <c r="D23" s="274">
        <f t="shared" si="0"/>
        <v>458.73352864385919</v>
      </c>
      <c r="E23" s="286">
        <f>'Valuation output'!I7</f>
        <v>364.14267503749545</v>
      </c>
      <c r="F23" s="286">
        <f>'Valuation output'!I8</f>
        <v>38.869201152819443</v>
      </c>
      <c r="G23" s="317">
        <f t="shared" si="1"/>
        <v>325.27347388467604</v>
      </c>
      <c r="H23" s="403"/>
      <c r="I23" s="404"/>
      <c r="J23" s="404"/>
      <c r="K23" s="405"/>
    </row>
    <row r="24" spans="1:11">
      <c r="A24" s="285">
        <v>8</v>
      </c>
      <c r="B24" s="286">
        <f>'Valuation output'!J3</f>
        <v>1575.0156972458262</v>
      </c>
      <c r="C24" s="287">
        <f>'Valuation output'!J4</f>
        <v>0.3</v>
      </c>
      <c r="D24" s="274">
        <f t="shared" si="0"/>
        <v>472.50470917374787</v>
      </c>
      <c r="E24" s="286">
        <f>'Valuation output'!J7</f>
        <v>368.17566938818436</v>
      </c>
      <c r="F24" s="286">
        <f>'Valuation output'!J8</f>
        <v>32.978560578030709</v>
      </c>
      <c r="G24" s="317">
        <f t="shared" si="1"/>
        <v>335.19710881015362</v>
      </c>
      <c r="H24" s="403"/>
      <c r="I24" s="404"/>
      <c r="J24" s="404"/>
      <c r="K24" s="405"/>
    </row>
    <row r="25" spans="1:11">
      <c r="A25" s="285">
        <v>9</v>
      </c>
      <c r="B25" s="286">
        <f>'Valuation output'!K3</f>
        <v>1611.8080639334887</v>
      </c>
      <c r="C25" s="287">
        <f>'Valuation output'!K4</f>
        <v>0.3</v>
      </c>
      <c r="D25" s="274">
        <f t="shared" si="0"/>
        <v>483.54241918004658</v>
      </c>
      <c r="E25" s="286">
        <f>'Valuation output'!K7</f>
        <v>369.71653370506363</v>
      </c>
      <c r="F25" s="286">
        <f>'Valuation output'!K8</f>
        <v>26.432576880059401</v>
      </c>
      <c r="G25" s="317">
        <f t="shared" si="1"/>
        <v>343.28395682500422</v>
      </c>
      <c r="H25" s="403"/>
      <c r="I25" s="404"/>
      <c r="J25" s="404"/>
      <c r="K25" s="405"/>
    </row>
    <row r="26" spans="1:11">
      <c r="A26" s="285">
        <v>10</v>
      </c>
      <c r="B26" s="286">
        <f>'Valuation output'!L3</f>
        <v>1638.725258601178</v>
      </c>
      <c r="C26" s="287">
        <f>'Valuation output'!L4</f>
        <v>0.3</v>
      </c>
      <c r="D26" s="274">
        <f t="shared" si="0"/>
        <v>491.61757758035338</v>
      </c>
      <c r="E26" s="286">
        <f>'Valuation output'!L7</f>
        <v>368.71318318526505</v>
      </c>
      <c r="F26" s="286">
        <f>'Valuation output'!L8</f>
        <v>19.338000827432626</v>
      </c>
      <c r="G26" s="317">
        <f t="shared" si="1"/>
        <v>349.37518235783244</v>
      </c>
      <c r="H26" s="403"/>
      <c r="I26" s="404"/>
      <c r="J26" s="404"/>
      <c r="K26" s="405"/>
    </row>
    <row r="27" spans="1:11" ht="17" thickBot="1">
      <c r="A27" s="288" t="s">
        <v>45</v>
      </c>
      <c r="B27" s="289">
        <f>'Valuation output'!M3</f>
        <v>1666.0919704198175</v>
      </c>
      <c r="C27" s="290">
        <f>'Valuation output'!M4</f>
        <v>0.3</v>
      </c>
      <c r="D27" s="274">
        <f t="shared" si="0"/>
        <v>499.82759112594522</v>
      </c>
      <c r="E27" s="289">
        <f>'Valuation output'!M7</f>
        <v>374.87069334445891</v>
      </c>
      <c r="F27" s="289">
        <f>'Valuation output'!M8</f>
        <v>101.46419090522627</v>
      </c>
      <c r="G27" s="317">
        <f t="shared" si="1"/>
        <v>273.40650243923267</v>
      </c>
      <c r="H27" s="406"/>
      <c r="I27" s="407"/>
      <c r="J27" s="407"/>
      <c r="K27" s="408"/>
    </row>
    <row r="28" spans="1:11" ht="17" thickBot="1">
      <c r="A28" s="425" t="s">
        <v>637</v>
      </c>
      <c r="B28" s="425"/>
      <c r="C28" s="425"/>
      <c r="D28" s="425"/>
      <c r="E28" s="425"/>
      <c r="F28" s="425"/>
      <c r="G28" s="425"/>
    </row>
    <row r="29" spans="1:11">
      <c r="A29" s="370" t="s">
        <v>638</v>
      </c>
      <c r="B29" s="371"/>
      <c r="C29" s="372"/>
      <c r="D29" s="291">
        <f>'Valuation output'!B18</f>
        <v>6075.700054205171</v>
      </c>
      <c r="E29" s="292"/>
      <c r="F29" s="293"/>
      <c r="G29" s="294"/>
      <c r="H29" s="409" t="s">
        <v>660</v>
      </c>
      <c r="I29" s="410"/>
      <c r="J29" s="410"/>
      <c r="K29" s="410"/>
    </row>
    <row r="30" spans="1:11">
      <c r="A30" s="367" t="s">
        <v>639</v>
      </c>
      <c r="B30" s="368"/>
      <c r="C30" s="369"/>
      <c r="D30" s="295">
        <f>'Valuation output'!B19</f>
        <v>2488.084192074924</v>
      </c>
      <c r="E30" s="296"/>
      <c r="F30" s="297"/>
      <c r="G30" s="298"/>
      <c r="H30" s="409"/>
      <c r="I30" s="410"/>
      <c r="J30" s="410"/>
      <c r="K30" s="410"/>
    </row>
    <row r="31" spans="1:11">
      <c r="A31" s="367" t="s">
        <v>46</v>
      </c>
      <c r="B31" s="368"/>
      <c r="C31" s="369"/>
      <c r="D31" s="295">
        <f>'Valuation output'!B20</f>
        <v>1828.5133895991848</v>
      </c>
      <c r="E31" s="296"/>
      <c r="F31" s="297"/>
      <c r="G31" s="298"/>
      <c r="H31" s="409"/>
      <c r="I31" s="410"/>
      <c r="J31" s="410"/>
      <c r="K31" s="410"/>
    </row>
    <row r="32" spans="1:11">
      <c r="A32" s="367" t="s">
        <v>44</v>
      </c>
      <c r="B32" s="368"/>
      <c r="C32" s="369"/>
      <c r="D32" s="295">
        <f>'Valuation output'!B21</f>
        <v>4316.5975816741084</v>
      </c>
      <c r="E32" s="296"/>
      <c r="F32" s="297"/>
      <c r="G32" s="298"/>
      <c r="H32" s="409"/>
      <c r="I32" s="410"/>
      <c r="J32" s="410"/>
      <c r="K32" s="410"/>
    </row>
    <row r="33" spans="1:11">
      <c r="A33" s="367" t="s">
        <v>649</v>
      </c>
      <c r="B33" s="368"/>
      <c r="C33" s="369"/>
      <c r="D33" s="318">
        <f>D32-'Valuation output'!B24</f>
        <v>0</v>
      </c>
      <c r="E33" s="411" t="s">
        <v>112</v>
      </c>
      <c r="F33" s="412"/>
      <c r="G33" s="319">
        <f>'Valuation output'!B22</f>
        <v>0</v>
      </c>
      <c r="H33" s="395"/>
      <c r="I33" s="410"/>
      <c r="J33" s="410"/>
      <c r="K33" s="410"/>
    </row>
    <row r="34" spans="1:11">
      <c r="A34" s="367" t="s">
        <v>650</v>
      </c>
      <c r="B34" s="368"/>
      <c r="C34" s="369"/>
      <c r="D34" s="295">
        <f>'Valuation output'!B25+'Valuation output'!B26</f>
        <v>566.79999999999995</v>
      </c>
      <c r="E34" s="296"/>
      <c r="F34" s="297"/>
      <c r="G34" s="298"/>
      <c r="H34" s="409"/>
      <c r="I34" s="410"/>
      <c r="J34" s="410"/>
      <c r="K34" s="410"/>
    </row>
    <row r="35" spans="1:11">
      <c r="A35" s="367" t="s">
        <v>651</v>
      </c>
      <c r="B35" s="368"/>
      <c r="C35" s="369"/>
      <c r="D35" s="295">
        <f>'Valuation output'!B27+'Valuation output'!B28</f>
        <v>451</v>
      </c>
      <c r="E35" s="296"/>
      <c r="F35" s="297"/>
      <c r="G35" s="298"/>
      <c r="H35" s="409"/>
      <c r="I35" s="410"/>
      <c r="J35" s="410"/>
      <c r="K35" s="410"/>
    </row>
    <row r="36" spans="1:11">
      <c r="A36" s="367" t="s">
        <v>54</v>
      </c>
      <c r="B36" s="368"/>
      <c r="C36" s="369"/>
      <c r="D36" s="295">
        <f>D32-D33-D34+D35</f>
        <v>4200.7975816741082</v>
      </c>
      <c r="E36" s="296"/>
      <c r="F36" s="297"/>
      <c r="G36" s="298"/>
      <c r="H36" s="409"/>
      <c r="I36" s="410"/>
      <c r="J36" s="410"/>
      <c r="K36" s="410"/>
    </row>
    <row r="37" spans="1:11">
      <c r="A37" s="367" t="s">
        <v>652</v>
      </c>
      <c r="B37" s="368"/>
      <c r="C37" s="369"/>
      <c r="D37" s="295">
        <f ca="1">'Valuation output'!B30</f>
        <v>17.341889316520177</v>
      </c>
      <c r="E37" s="296"/>
      <c r="F37" s="297"/>
      <c r="G37" s="298"/>
      <c r="H37" s="409"/>
      <c r="I37" s="410"/>
      <c r="J37" s="410"/>
      <c r="K37" s="410"/>
    </row>
    <row r="38" spans="1:11" ht="17" thickBot="1">
      <c r="A38" s="413" t="s">
        <v>646</v>
      </c>
      <c r="B38" s="414"/>
      <c r="C38" s="414"/>
      <c r="D38" s="303">
        <f>'Valuation output'!B32</f>
        <v>3125.7</v>
      </c>
      <c r="E38" s="297"/>
      <c r="F38" s="300"/>
      <c r="G38" s="298"/>
      <c r="H38" s="409"/>
      <c r="I38" s="410"/>
      <c r="J38" s="410"/>
      <c r="K38" s="410"/>
    </row>
    <row r="39" spans="1:11" ht="17" thickBot="1">
      <c r="A39" s="415" t="s">
        <v>623</v>
      </c>
      <c r="B39" s="416"/>
      <c r="C39" s="416"/>
      <c r="D39" s="271">
        <f ca="1">(D36-D37)/D38</f>
        <v>1.3384060186062605</v>
      </c>
      <c r="E39" s="417" t="s">
        <v>653</v>
      </c>
      <c r="F39" s="418"/>
      <c r="G39" s="315">
        <f>'Input sheet'!B20</f>
        <v>0.58399999999999996</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795.8</v>
      </c>
    </row>
    <row r="3" spans="1:4" s="144" customFormat="1" ht="13">
      <c r="A3" s="147" t="s">
        <v>8</v>
      </c>
      <c r="B3" s="148">
        <f>'Valuation output'!L39</f>
        <v>1177.3021222305833</v>
      </c>
    </row>
    <row r="4" spans="1:4" s="144" customFormat="1" ht="13">
      <c r="A4" s="147" t="s">
        <v>9</v>
      </c>
      <c r="B4" s="148">
        <f>B3-B2</f>
        <v>381.50212223058338</v>
      </c>
    </row>
    <row r="5" spans="1:4" s="144" customFormat="1" ht="13">
      <c r="A5" s="147" t="s">
        <v>10</v>
      </c>
      <c r="B5" s="148">
        <f>'Valuation output'!L5-'Valuation output'!B5</f>
        <v>134.21757758035341</v>
      </c>
    </row>
    <row r="6" spans="1:4" s="144" customFormat="1" ht="13">
      <c r="A6" s="147" t="s">
        <v>4</v>
      </c>
      <c r="B6" s="149">
        <f>B5/B4</f>
        <v>0.35181344941308368</v>
      </c>
    </row>
    <row r="7" spans="1:4" s="144" customFormat="1" ht="13">
      <c r="A7" s="147" t="s">
        <v>5</v>
      </c>
      <c r="B7" s="149">
        <f>'Valuation output'!L40</f>
        <v>0.31318484543855246</v>
      </c>
    </row>
    <row r="8" spans="1:4" s="144" customFormat="1" ht="13">
      <c r="A8" s="147" t="s">
        <v>240</v>
      </c>
      <c r="B8" s="149">
        <f>(1/'Valuation output'!L13)^(1/10)-1</f>
        <v>9.3385034681642054E-2</v>
      </c>
    </row>
    <row r="9" spans="1:4" s="144" customFormat="1" ht="14" thickBot="1">
      <c r="A9" s="150" t="s">
        <v>28</v>
      </c>
      <c r="B9" s="151">
        <f ca="1">'Valuation output'!B33/'Valuation output'!B34</f>
        <v>2.2917911277504461</v>
      </c>
    </row>
    <row r="10" spans="1:4" s="144" customFormat="1" ht="14" thickBot="1">
      <c r="A10" s="152"/>
      <c r="B10" s="426" t="str">
        <f ca="1">IF(B9="NA","Value is negative. See below",IF(B9&gt;2,"Value seems high. See below",IF(B9&lt;0.5,"Value seems low. See below"," ")))</f>
        <v>Value seems high. See below</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1107.7</v>
      </c>
      <c r="D2" s="331">
        <f>'Valuation output'!B4</f>
        <v>0.32265053714904757</v>
      </c>
      <c r="E2" s="330">
        <f>B2*D2</f>
        <v>357.4</v>
      </c>
      <c r="F2" s="330">
        <f>'Valuation output'!B10</f>
        <v>0</v>
      </c>
      <c r="G2" s="330">
        <f>E2-H2</f>
        <v>63.259799999999984</v>
      </c>
      <c r="H2" s="330">
        <f>'Valuation output'!B7</f>
        <v>294.14019999999999</v>
      </c>
    </row>
    <row r="3" spans="1:8" s="329" customFormat="1">
      <c r="A3" s="329">
        <v>1</v>
      </c>
      <c r="B3" s="330">
        <f>'Valuation output'!C3</f>
        <v>1163.085</v>
      </c>
      <c r="C3" s="331">
        <f>'Valuation output'!C2</f>
        <v>0.05</v>
      </c>
      <c r="D3" s="331">
        <f>'Valuation output'!C4</f>
        <v>0.31812042971923804</v>
      </c>
      <c r="E3" s="330">
        <f>B3*D3</f>
        <v>370.00110000000001</v>
      </c>
      <c r="F3" s="330">
        <f>'Valuation output'!C10</f>
        <v>0</v>
      </c>
      <c r="G3" s="330">
        <f t="shared" ref="G3:G12" si="0">E3-H3</f>
        <v>65.490194700000018</v>
      </c>
      <c r="H3" s="330">
        <f>'Valuation output'!C7</f>
        <v>304.51090529999999</v>
      </c>
    </row>
    <row r="4" spans="1:8" s="329" customFormat="1">
      <c r="A4" s="329">
        <v>2</v>
      </c>
      <c r="B4" s="333">
        <f>'Valuation output'!D3</f>
        <v>1221.2392500000001</v>
      </c>
      <c r="C4" s="331">
        <f>B4/B3-1</f>
        <v>5.0000000000000044E-2</v>
      </c>
      <c r="D4" s="331">
        <f>'Valuation output'!D4</f>
        <v>0.31359032228942851</v>
      </c>
      <c r="E4" s="330">
        <f t="shared" ref="E4:E12" si="1">B4*D4</f>
        <v>382.96880999999996</v>
      </c>
      <c r="F4" s="330">
        <f>'Valuation output'!D10</f>
        <v>0</v>
      </c>
      <c r="G4" s="330">
        <f t="shared" si="0"/>
        <v>67.785479369999962</v>
      </c>
      <c r="H4" s="330">
        <f>'Valuation output'!D7</f>
        <v>315.18333063</v>
      </c>
    </row>
    <row r="5" spans="1:8" s="329" customFormat="1">
      <c r="A5" s="329">
        <v>3</v>
      </c>
      <c r="B5" s="330">
        <f>'Valuation output'!E3</f>
        <v>1282.3012125000002</v>
      </c>
      <c r="C5" s="331">
        <f t="shared" ref="C5:C12" si="2">B5/B4-1</f>
        <v>5.0000000000000044E-2</v>
      </c>
      <c r="D5" s="331">
        <f>'Valuation output'!E4</f>
        <v>0.30906021485961904</v>
      </c>
      <c r="E5" s="330">
        <f t="shared" si="1"/>
        <v>396.30828825000009</v>
      </c>
      <c r="F5" s="330">
        <f>'Valuation output'!E10</f>
        <v>0</v>
      </c>
      <c r="G5" s="330">
        <f t="shared" si="0"/>
        <v>70.146567020250018</v>
      </c>
      <c r="H5" s="330">
        <f>'Valuation output'!E7</f>
        <v>326.16172122975007</v>
      </c>
    </row>
    <row r="6" spans="1:8" s="329" customFormat="1">
      <c r="A6" s="329">
        <v>4</v>
      </c>
      <c r="B6" s="330">
        <f>'Valuation output'!F3</f>
        <v>1346.4162731250003</v>
      </c>
      <c r="C6" s="331">
        <f t="shared" si="2"/>
        <v>5.0000000000000044E-2</v>
      </c>
      <c r="D6" s="331">
        <f>'Valuation output'!F4</f>
        <v>0.30453010742980952</v>
      </c>
      <c r="E6" s="330">
        <f t="shared" si="1"/>
        <v>410.02429230000007</v>
      </c>
      <c r="F6" s="330">
        <f>'Valuation output'!F10</f>
        <v>0</v>
      </c>
      <c r="G6" s="330">
        <f t="shared" si="0"/>
        <v>72.574299737099977</v>
      </c>
      <c r="H6" s="330">
        <f>'Valuation output'!F7</f>
        <v>337.44999256290009</v>
      </c>
    </row>
    <row r="7" spans="1:8" s="329" customFormat="1">
      <c r="A7" s="329">
        <v>5</v>
      </c>
      <c r="B7" s="330">
        <f>'Valuation output'!G3</f>
        <v>1413.7370867812504</v>
      </c>
      <c r="C7" s="331">
        <f t="shared" si="2"/>
        <v>5.0000000000000044E-2</v>
      </c>
      <c r="D7" s="331">
        <f>'Valuation output'!G4</f>
        <v>0.3</v>
      </c>
      <c r="E7" s="330">
        <f t="shared" si="1"/>
        <v>424.1211260343751</v>
      </c>
      <c r="F7" s="330">
        <f>'Valuation output'!G10</f>
        <v>0</v>
      </c>
      <c r="G7" s="330">
        <f t="shared" si="0"/>
        <v>75.069439308084384</v>
      </c>
      <c r="H7" s="330">
        <f>'Valuation output'!G7</f>
        <v>349.05168672629071</v>
      </c>
    </row>
    <row r="8" spans="1:8" s="329" customFormat="1">
      <c r="A8" s="329">
        <v>6</v>
      </c>
      <c r="B8" s="330">
        <f>'Valuation output'!H3</f>
        <v>1475.0084521223496</v>
      </c>
      <c r="C8" s="331">
        <f t="shared" si="2"/>
        <v>4.3339999999999934E-2</v>
      </c>
      <c r="D8" s="331">
        <f>'Valuation output'!H4</f>
        <v>0.3</v>
      </c>
      <c r="E8" s="330">
        <f t="shared" si="1"/>
        <v>442.50253563670486</v>
      </c>
      <c r="F8" s="330">
        <f>'Valuation output'!H10</f>
        <v>0</v>
      </c>
      <c r="G8" s="330">
        <f t="shared" si="0"/>
        <v>84.783485827992649</v>
      </c>
      <c r="H8" s="330">
        <f>'Valuation output'!H7</f>
        <v>357.71904980871221</v>
      </c>
    </row>
    <row r="9" spans="1:8" s="329" customFormat="1">
      <c r="A9" s="329">
        <v>7</v>
      </c>
      <c r="B9" s="330">
        <f>'Valuation output'!I3</f>
        <v>1529.1117621461974</v>
      </c>
      <c r="C9" s="331">
        <f t="shared" si="2"/>
        <v>3.6680000000000046E-2</v>
      </c>
      <c r="D9" s="331">
        <f>'Valuation output'!I4</f>
        <v>0.3</v>
      </c>
      <c r="E9" s="330">
        <f t="shared" si="1"/>
        <v>458.73352864385919</v>
      </c>
      <c r="F9" s="330">
        <f>'Valuation output'!I10</f>
        <v>0</v>
      </c>
      <c r="G9" s="330">
        <f t="shared" si="0"/>
        <v>94.590853606363737</v>
      </c>
      <c r="H9" s="330">
        <f>'Valuation output'!I7</f>
        <v>364.14267503749545</v>
      </c>
    </row>
    <row r="10" spans="1:8" s="329" customFormat="1">
      <c r="A10" s="329">
        <v>8</v>
      </c>
      <c r="B10" s="330">
        <f>'Valuation output'!J3</f>
        <v>1575.0156972458262</v>
      </c>
      <c r="C10" s="331">
        <f t="shared" si="2"/>
        <v>3.0019999999999936E-2</v>
      </c>
      <c r="D10" s="331">
        <f>'Valuation output'!J4</f>
        <v>0.3</v>
      </c>
      <c r="E10" s="330">
        <f t="shared" si="1"/>
        <v>472.50470917374787</v>
      </c>
      <c r="F10" s="330">
        <f>'Valuation output'!J10</f>
        <v>0</v>
      </c>
      <c r="G10" s="330">
        <f t="shared" si="0"/>
        <v>104.32903978556351</v>
      </c>
      <c r="H10" s="330">
        <f>'Valuation output'!J7</f>
        <v>368.17566938818436</v>
      </c>
    </row>
    <row r="11" spans="1:8" s="329" customFormat="1">
      <c r="A11" s="329">
        <v>9</v>
      </c>
      <c r="B11" s="330">
        <f>'Valuation output'!K3</f>
        <v>1611.8080639334887</v>
      </c>
      <c r="C11" s="331">
        <f t="shared" si="2"/>
        <v>2.3360000000000047E-2</v>
      </c>
      <c r="D11" s="331">
        <f>'Valuation output'!K4</f>
        <v>0.3</v>
      </c>
      <c r="E11" s="330">
        <f t="shared" si="1"/>
        <v>483.54241918004658</v>
      </c>
      <c r="F11" s="330">
        <f>'Valuation output'!K10</f>
        <v>0</v>
      </c>
      <c r="G11" s="330">
        <f t="shared" si="0"/>
        <v>113.82588547498295</v>
      </c>
      <c r="H11" s="330">
        <f>'Valuation output'!K7</f>
        <v>369.71653370506363</v>
      </c>
    </row>
    <row r="12" spans="1:8" s="329" customFormat="1">
      <c r="A12" s="329">
        <v>10</v>
      </c>
      <c r="B12" s="330">
        <f>'Valuation output'!L3</f>
        <v>1638.725258601178</v>
      </c>
      <c r="C12" s="331">
        <f t="shared" si="2"/>
        <v>1.6699999999999937E-2</v>
      </c>
      <c r="D12" s="331">
        <f>'Valuation output'!L4</f>
        <v>0.3</v>
      </c>
      <c r="E12" s="330">
        <f t="shared" si="1"/>
        <v>491.61757758035338</v>
      </c>
      <c r="F12" s="330">
        <f>'Valuation output'!L10</f>
        <v>0</v>
      </c>
      <c r="G12" s="330">
        <f t="shared" si="0"/>
        <v>122.90439439508833</v>
      </c>
      <c r="H12" s="330">
        <f>'Valuation output'!L7</f>
        <v>368.71318318526505</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294.14019999999999</v>
      </c>
      <c r="G15" s="335">
        <f>'Valuation output'!B39</f>
        <v>795.8</v>
      </c>
      <c r="H15" s="336">
        <f>B15/G15</f>
        <v>0.36961573259612968</v>
      </c>
    </row>
    <row r="16" spans="1:8" s="329" customFormat="1">
      <c r="A16" s="329">
        <f t="shared" ref="A16:A24" si="3">A3</f>
        <v>1</v>
      </c>
      <c r="B16" s="330">
        <f t="shared" ref="B16:B25" si="4">H3</f>
        <v>304.51090529999999</v>
      </c>
      <c r="C16" s="330">
        <f>B3-B2</f>
        <v>55.384999999999991</v>
      </c>
      <c r="D16" s="334">
        <f>'Valuation output'!C38</f>
        <v>1.3919326463935664</v>
      </c>
      <c r="E16" s="330">
        <f>C16/D16</f>
        <v>39.789999999999985</v>
      </c>
      <c r="F16" s="330">
        <f>B16-E16</f>
        <v>264.72090530000003</v>
      </c>
      <c r="G16" s="330">
        <f>G15+E16</f>
        <v>835.58999999999992</v>
      </c>
      <c r="H16" s="336">
        <f t="shared" ref="H16:H25" si="5">B16/G16</f>
        <v>0.36442622015581805</v>
      </c>
    </row>
    <row r="17" spans="1:8" s="329" customFormat="1">
      <c r="A17" s="329">
        <f t="shared" si="3"/>
        <v>2</v>
      </c>
      <c r="B17" s="330">
        <f t="shared" si="4"/>
        <v>315.18333063</v>
      </c>
      <c r="C17" s="330">
        <f t="shared" ref="C17:C25" si="6">B4-B3</f>
        <v>58.154250000000047</v>
      </c>
      <c r="D17" s="334">
        <f>'Valuation output'!D38</f>
        <v>1.3919326463935664</v>
      </c>
      <c r="E17" s="330">
        <f t="shared" ref="E17:E25" si="7">C17/D17</f>
        <v>41.779500000000027</v>
      </c>
      <c r="F17" s="330">
        <f t="shared" ref="F17:F25" si="8">B17-E17</f>
        <v>273.40383062999996</v>
      </c>
      <c r="G17" s="330">
        <f t="shared" ref="G17:G25" si="9">G16+E17</f>
        <v>877.3694999999999</v>
      </c>
      <c r="H17" s="336">
        <f t="shared" si="5"/>
        <v>0.35923670771550648</v>
      </c>
    </row>
    <row r="18" spans="1:8" s="329" customFormat="1">
      <c r="A18" s="329">
        <f t="shared" si="3"/>
        <v>3</v>
      </c>
      <c r="B18" s="330">
        <f t="shared" si="4"/>
        <v>326.16172122975007</v>
      </c>
      <c r="C18" s="330">
        <f t="shared" si="6"/>
        <v>61.061962500000163</v>
      </c>
      <c r="D18" s="334">
        <f>'Valuation output'!E38</f>
        <v>1.3919326463935664</v>
      </c>
      <c r="E18" s="330">
        <f t="shared" si="7"/>
        <v>43.86847500000011</v>
      </c>
      <c r="F18" s="330">
        <f t="shared" si="8"/>
        <v>282.29324622974997</v>
      </c>
      <c r="G18" s="330">
        <f t="shared" si="9"/>
        <v>921.23797500000001</v>
      </c>
      <c r="H18" s="336">
        <f t="shared" si="5"/>
        <v>0.35404719527519485</v>
      </c>
    </row>
    <row r="19" spans="1:8" s="329" customFormat="1">
      <c r="A19" s="329">
        <f t="shared" si="3"/>
        <v>4</v>
      </c>
      <c r="B19" s="330">
        <f t="shared" si="4"/>
        <v>337.44999256290009</v>
      </c>
      <c r="C19" s="330">
        <f t="shared" si="6"/>
        <v>64.115060625000069</v>
      </c>
      <c r="D19" s="334">
        <f>'Valuation output'!F38</f>
        <v>1.3919326463935664</v>
      </c>
      <c r="E19" s="330">
        <f t="shared" si="7"/>
        <v>46.061898750000047</v>
      </c>
      <c r="F19" s="330">
        <f t="shared" si="8"/>
        <v>291.38809381290002</v>
      </c>
      <c r="G19" s="330">
        <f t="shared" si="9"/>
        <v>967.29987375000007</v>
      </c>
      <c r="H19" s="336">
        <f t="shared" si="5"/>
        <v>0.34885768283488322</v>
      </c>
    </row>
    <row r="20" spans="1:8" s="329" customFormat="1">
      <c r="A20" s="329">
        <f t="shared" si="3"/>
        <v>5</v>
      </c>
      <c r="B20" s="330">
        <f t="shared" si="4"/>
        <v>349.05168672629071</v>
      </c>
      <c r="C20" s="330">
        <f t="shared" si="6"/>
        <v>67.320813656250039</v>
      </c>
      <c r="D20" s="334">
        <f>'Valuation output'!G38</f>
        <v>1.3919326463935664</v>
      </c>
      <c r="E20" s="330">
        <f t="shared" si="7"/>
        <v>48.364993687500025</v>
      </c>
      <c r="F20" s="330">
        <f t="shared" si="8"/>
        <v>300.68669303879068</v>
      </c>
      <c r="G20" s="330">
        <f t="shared" si="9"/>
        <v>1015.6648674375001</v>
      </c>
      <c r="H20" s="336">
        <f t="shared" si="5"/>
        <v>0.34366817039457154</v>
      </c>
    </row>
    <row r="21" spans="1:8" s="329" customFormat="1">
      <c r="A21" s="329">
        <f t="shared" si="3"/>
        <v>6</v>
      </c>
      <c r="B21" s="330">
        <f t="shared" si="4"/>
        <v>357.71904980871221</v>
      </c>
      <c r="C21" s="330">
        <f t="shared" si="6"/>
        <v>61.271365341099226</v>
      </c>
      <c r="D21" s="334">
        <f>'Valuation output'!H38</f>
        <v>1.3919326463935664</v>
      </c>
      <c r="E21" s="330">
        <f t="shared" si="7"/>
        <v>44.018915354741139</v>
      </c>
      <c r="F21" s="330">
        <f t="shared" si="8"/>
        <v>313.70013445397109</v>
      </c>
      <c r="G21" s="330">
        <f t="shared" si="9"/>
        <v>1059.6837827922413</v>
      </c>
      <c r="H21" s="336">
        <f t="shared" si="5"/>
        <v>0.33757150540336767</v>
      </c>
    </row>
    <row r="22" spans="1:8" s="329" customFormat="1">
      <c r="A22" s="329">
        <f t="shared" si="3"/>
        <v>7</v>
      </c>
      <c r="B22" s="330">
        <f t="shared" si="4"/>
        <v>364.14267503749545</v>
      </c>
      <c r="C22" s="330">
        <f t="shared" si="6"/>
        <v>54.103310023847826</v>
      </c>
      <c r="D22" s="334">
        <f>'Valuation output'!I38</f>
        <v>1.3919326463935664</v>
      </c>
      <c r="E22" s="330">
        <f t="shared" si="7"/>
        <v>38.869201152819443</v>
      </c>
      <c r="F22" s="330">
        <f t="shared" si="8"/>
        <v>325.27347388467604</v>
      </c>
      <c r="G22" s="330">
        <f t="shared" si="9"/>
        <v>1098.5529839450608</v>
      </c>
      <c r="H22" s="336">
        <f t="shared" si="5"/>
        <v>0.33147484041216391</v>
      </c>
    </row>
    <row r="23" spans="1:8" s="329" customFormat="1">
      <c r="A23" s="329">
        <f t="shared" si="3"/>
        <v>8</v>
      </c>
      <c r="B23" s="330">
        <f t="shared" si="4"/>
        <v>368.17566938818436</v>
      </c>
      <c r="C23" s="330">
        <f t="shared" si="6"/>
        <v>45.903935099628825</v>
      </c>
      <c r="D23" s="334">
        <f>'Valuation output'!J38</f>
        <v>1.3919326463935664</v>
      </c>
      <c r="E23" s="330">
        <f t="shared" si="7"/>
        <v>32.978560578030709</v>
      </c>
      <c r="F23" s="330">
        <f t="shared" si="8"/>
        <v>335.19710881015362</v>
      </c>
      <c r="G23" s="330">
        <f t="shared" si="9"/>
        <v>1131.5315445230915</v>
      </c>
      <c r="H23" s="336">
        <f t="shared" si="5"/>
        <v>0.32537817542096009</v>
      </c>
    </row>
    <row r="24" spans="1:8" s="329" customFormat="1">
      <c r="A24" s="329">
        <f t="shared" si="3"/>
        <v>9</v>
      </c>
      <c r="B24" s="330">
        <f t="shared" si="4"/>
        <v>369.71653370506363</v>
      </c>
      <c r="C24" s="330">
        <f t="shared" si="6"/>
        <v>36.792366687662479</v>
      </c>
      <c r="D24" s="334">
        <f>'Valuation output'!K38</f>
        <v>1.3919326463935664</v>
      </c>
      <c r="E24" s="330">
        <f t="shared" si="7"/>
        <v>26.432576880059401</v>
      </c>
      <c r="F24" s="330">
        <f t="shared" si="8"/>
        <v>343.28395682500422</v>
      </c>
      <c r="G24" s="330">
        <f t="shared" si="9"/>
        <v>1157.9641214031508</v>
      </c>
      <c r="H24" s="336">
        <f t="shared" si="5"/>
        <v>0.31928151042975628</v>
      </c>
    </row>
    <row r="25" spans="1:8" s="329" customFormat="1">
      <c r="A25" s="329">
        <f>A12</f>
        <v>10</v>
      </c>
      <c r="B25" s="330">
        <f t="shared" si="4"/>
        <v>368.71318318526505</v>
      </c>
      <c r="C25" s="330">
        <f t="shared" si="6"/>
        <v>26.917194667689273</v>
      </c>
      <c r="D25" s="334">
        <f>'Valuation output'!L38</f>
        <v>1.3919326463935664</v>
      </c>
      <c r="E25" s="330">
        <f t="shared" si="7"/>
        <v>19.338000827432626</v>
      </c>
      <c r="F25" s="330">
        <f t="shared" si="8"/>
        <v>349.37518235783244</v>
      </c>
      <c r="G25" s="330">
        <f t="shared" si="9"/>
        <v>1177.3021222305833</v>
      </c>
      <c r="H25" s="336">
        <f t="shared" si="5"/>
        <v>0.31318484543855246</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0.10714105571586939</v>
      </c>
    </row>
    <row r="29" spans="1:8">
      <c r="A29">
        <f t="shared" ref="A29:A37" si="10">A17</f>
        <v>2</v>
      </c>
      <c r="H29" s="324">
        <f>'Valuation output'!D12</f>
        <v>0.10714105571586939</v>
      </c>
    </row>
    <row r="30" spans="1:8">
      <c r="A30">
        <f t="shared" si="10"/>
        <v>3</v>
      </c>
      <c r="H30" s="324">
        <f>'Valuation output'!E12</f>
        <v>0.10714105571586939</v>
      </c>
    </row>
    <row r="31" spans="1:8">
      <c r="A31">
        <f t="shared" si="10"/>
        <v>4</v>
      </c>
      <c r="H31" s="324">
        <f>'Valuation output'!F12</f>
        <v>0.10714105571586939</v>
      </c>
    </row>
    <row r="32" spans="1:8">
      <c r="A32">
        <f t="shared" si="10"/>
        <v>5</v>
      </c>
      <c r="H32" s="324">
        <f>'Valuation output'!G12</f>
        <v>0.10714105571586939</v>
      </c>
    </row>
    <row r="33" spans="1:8">
      <c r="A33">
        <f t="shared" si="10"/>
        <v>6</v>
      </c>
      <c r="H33" s="324">
        <f>'Valuation output'!H12</f>
        <v>9.8052844572695516E-2</v>
      </c>
    </row>
    <row r="34" spans="1:8">
      <c r="A34">
        <f t="shared" si="10"/>
        <v>7</v>
      </c>
      <c r="H34" s="324">
        <f>'Valuation output'!I12</f>
        <v>8.8964633429521642E-2</v>
      </c>
    </row>
    <row r="35" spans="1:8">
      <c r="A35">
        <f t="shared" si="10"/>
        <v>8</v>
      </c>
      <c r="H35" s="324">
        <f>'Valuation output'!J12</f>
        <v>7.9876422286347767E-2</v>
      </c>
    </row>
    <row r="36" spans="1:8">
      <c r="A36">
        <f t="shared" si="10"/>
        <v>9</v>
      </c>
      <c r="H36" s="324">
        <f>'Valuation output'!K12</f>
        <v>7.0788211143173893E-2</v>
      </c>
    </row>
    <row r="37" spans="1:8">
      <c r="A37">
        <f t="shared" si="10"/>
        <v>10</v>
      </c>
      <c r="H37" s="324">
        <f>'Valuation output'!L12</f>
        <v>6.1700000000000019E-2</v>
      </c>
    </row>
    <row r="38" spans="1:8" ht="13" thickBot="1"/>
    <row r="39" spans="1:8" ht="31" thickBot="1">
      <c r="A39" s="328" t="s">
        <v>120</v>
      </c>
      <c r="B39" s="328" t="s">
        <v>680</v>
      </c>
      <c r="C39" s="328" t="s">
        <v>683</v>
      </c>
      <c r="D39" s="328" t="s">
        <v>16</v>
      </c>
      <c r="E39" s="328" t="s">
        <v>684</v>
      </c>
      <c r="F39" s="328" t="s">
        <v>130</v>
      </c>
    </row>
    <row r="40" spans="1:8">
      <c r="A40">
        <f>A28</f>
        <v>1</v>
      </c>
      <c r="B40" s="337">
        <f>H28</f>
        <v>0.10714105571586939</v>
      </c>
      <c r="C40" s="338">
        <f>(1+'Summary Sheet'!B40)</f>
        <v>1.1071410557158694</v>
      </c>
      <c r="D40" s="332">
        <f>F16</f>
        <v>264.72090530000003</v>
      </c>
      <c r="F40" s="332">
        <f>D40/C40</f>
        <v>239.10314221780294</v>
      </c>
    </row>
    <row r="41" spans="1:8">
      <c r="A41">
        <f t="shared" ref="A41:A49" si="11">A29</f>
        <v>2</v>
      </c>
      <c r="B41" s="337">
        <f t="shared" ref="B41:B49" si="12">H29</f>
        <v>0.10714105571586939</v>
      </c>
      <c r="C41" s="338">
        <f>C40*(1+B41)</f>
        <v>1.2257613172516499</v>
      </c>
      <c r="D41" s="332">
        <f t="shared" ref="D41:D49" si="13">F17</f>
        <v>273.40383062999996</v>
      </c>
      <c r="F41" s="332">
        <f t="shared" ref="F41:F48" si="14">D41/C41</f>
        <v>223.04817975738902</v>
      </c>
    </row>
    <row r="42" spans="1:8">
      <c r="A42">
        <f t="shared" si="11"/>
        <v>3</v>
      </c>
      <c r="B42" s="337">
        <f t="shared" si="12"/>
        <v>0.10714105571586939</v>
      </c>
      <c r="C42" s="338">
        <f t="shared" ref="C42:C49" si="15">C41*(1+B42)</f>
        <v>1.3570906788376664</v>
      </c>
      <c r="D42" s="332">
        <f t="shared" si="13"/>
        <v>282.29324622974997</v>
      </c>
      <c r="F42" s="332">
        <f t="shared" si="14"/>
        <v>208.01354738618579</v>
      </c>
    </row>
    <row r="43" spans="1:8">
      <c r="A43">
        <f t="shared" si="11"/>
        <v>4</v>
      </c>
      <c r="B43" s="337">
        <f t="shared" si="12"/>
        <v>0.10714105571586939</v>
      </c>
      <c r="C43" s="338">
        <f t="shared" si="15"/>
        <v>1.5024908068704999</v>
      </c>
      <c r="D43" s="332">
        <f t="shared" si="13"/>
        <v>291.38809381290002</v>
      </c>
      <c r="F43" s="332">
        <f t="shared" si="14"/>
        <v>193.93668998203384</v>
      </c>
    </row>
    <row r="44" spans="1:8">
      <c r="A44">
        <f t="shared" si="11"/>
        <v>5</v>
      </c>
      <c r="B44" s="337">
        <f t="shared" si="12"/>
        <v>0.10714105571586939</v>
      </c>
      <c r="C44" s="338">
        <f t="shared" si="15"/>
        <v>1.6634692581219936</v>
      </c>
      <c r="D44" s="332">
        <f t="shared" si="13"/>
        <v>300.68669303879068</v>
      </c>
      <c r="F44" s="332">
        <f t="shared" si="14"/>
        <v>180.75879164623507</v>
      </c>
    </row>
    <row r="45" spans="1:8">
      <c r="A45">
        <f t="shared" si="11"/>
        <v>6</v>
      </c>
      <c r="B45" s="337">
        <f t="shared" si="12"/>
        <v>9.8052844572695516E-2</v>
      </c>
      <c r="C45" s="338">
        <f t="shared" si="15"/>
        <v>1.8265771507400868</v>
      </c>
      <c r="D45" s="332">
        <f t="shared" si="13"/>
        <v>313.70013445397109</v>
      </c>
      <c r="F45" s="332">
        <f t="shared" si="14"/>
        <v>171.74206648039316</v>
      </c>
    </row>
    <row r="46" spans="1:8">
      <c r="A46">
        <f t="shared" si="11"/>
        <v>7</v>
      </c>
      <c r="B46" s="337">
        <f t="shared" si="12"/>
        <v>8.8964633429521642E-2</v>
      </c>
      <c r="C46" s="338">
        <f t="shared" si="15"/>
        <v>1.9890779173864186</v>
      </c>
      <c r="D46" s="332">
        <f t="shared" si="13"/>
        <v>325.27347388467604</v>
      </c>
      <c r="F46" s="332">
        <f t="shared" si="14"/>
        <v>163.52977982485191</v>
      </c>
    </row>
    <row r="47" spans="1:8">
      <c r="A47">
        <f t="shared" si="11"/>
        <v>8</v>
      </c>
      <c r="B47" s="337">
        <f t="shared" si="12"/>
        <v>7.9876422286347767E-2</v>
      </c>
      <c r="C47" s="338">
        <f t="shared" si="15"/>
        <v>2.1479583450760251</v>
      </c>
      <c r="D47" s="332">
        <f t="shared" si="13"/>
        <v>335.19710881015362</v>
      </c>
      <c r="F47" s="332">
        <f t="shared" si="14"/>
        <v>156.05382179713061</v>
      </c>
    </row>
    <row r="48" spans="1:8">
      <c r="A48">
        <f t="shared" si="11"/>
        <v>9</v>
      </c>
      <c r="B48" s="337">
        <f t="shared" si="12"/>
        <v>7.0788211143173893E-2</v>
      </c>
      <c r="C48" s="338">
        <f t="shared" si="15"/>
        <v>2.300008473934009</v>
      </c>
      <c r="D48" s="332">
        <f t="shared" si="13"/>
        <v>343.28395682500422</v>
      </c>
      <c r="F48" s="332">
        <f t="shared" si="14"/>
        <v>149.25334437478841</v>
      </c>
    </row>
    <row r="49" spans="1:6">
      <c r="A49">
        <f t="shared" si="11"/>
        <v>10</v>
      </c>
      <c r="B49" s="337">
        <f t="shared" si="12"/>
        <v>6.1700000000000019E-2</v>
      </c>
      <c r="C49" s="338">
        <f t="shared" si="15"/>
        <v>2.4419189967757373</v>
      </c>
      <c r="D49" s="332">
        <f t="shared" si="13"/>
        <v>349.37518235783244</v>
      </c>
      <c r="E49" s="332">
        <f>'Valuation output'!B18</f>
        <v>6075.700054205171</v>
      </c>
      <c r="F49" s="332">
        <f>(D49+E49)/C49</f>
        <v>2631.1582182072984</v>
      </c>
    </row>
    <row r="50" spans="1:6">
      <c r="A50" t="s">
        <v>44</v>
      </c>
      <c r="F50" s="332">
        <f>SUM(F40:F49)</f>
        <v>4316.5975816741093</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f>'Input sheet'!B20</f>
        <v>0.58399999999999996</v>
      </c>
    </row>
    <row r="3" spans="1:7" ht="14">
      <c r="A3" s="8" t="s">
        <v>64</v>
      </c>
      <c r="B3" s="8"/>
      <c r="D3" s="9">
        <f>'Input sheet'!B34</f>
        <v>0.86</v>
      </c>
    </row>
    <row r="4" spans="1:7" ht="14">
      <c r="A4" s="8" t="s">
        <v>65</v>
      </c>
      <c r="B4" s="8"/>
      <c r="D4" s="12">
        <f>'Input sheet'!B35</f>
        <v>5</v>
      </c>
    </row>
    <row r="5" spans="1:7" ht="14">
      <c r="A5" s="8" t="s">
        <v>66</v>
      </c>
      <c r="B5" s="8"/>
      <c r="D5" s="10">
        <f>'Input sheet'!B36</f>
        <v>0.6</v>
      </c>
      <c r="E5" s="8" t="s">
        <v>67</v>
      </c>
    </row>
    <row r="6" spans="1:7" ht="14">
      <c r="A6" s="8" t="s">
        <v>68</v>
      </c>
      <c r="B6" s="8"/>
      <c r="D6" s="11">
        <v>0</v>
      </c>
    </row>
    <row r="7" spans="1:7" ht="14">
      <c r="A7" s="8" t="s">
        <v>69</v>
      </c>
      <c r="B7" s="8"/>
      <c r="D7" s="11">
        <f>'Input sheet'!B29</f>
        <v>1.67E-2</v>
      </c>
    </row>
    <row r="8" spans="1:7" ht="14">
      <c r="A8" s="8" t="s">
        <v>70</v>
      </c>
      <c r="B8" s="8"/>
      <c r="D8" s="12">
        <f>'Input sheet'!B33</f>
        <v>72</v>
      </c>
    </row>
    <row r="9" spans="1:7" ht="14">
      <c r="A9" s="8" t="s">
        <v>71</v>
      </c>
      <c r="B9" s="8"/>
      <c r="D9" s="13">
        <f>'Input sheet'!B19</f>
        <v>3125.7</v>
      </c>
    </row>
    <row r="10" spans="1:7" ht="14">
      <c r="A10" s="8"/>
      <c r="B10" s="8"/>
    </row>
    <row r="11" spans="1:7" s="16" customFormat="1" ht="14">
      <c r="A11" s="14" t="s">
        <v>72</v>
      </c>
      <c r="B11" s="15"/>
    </row>
    <row r="12" spans="1:7" s="8" customFormat="1" ht="14">
      <c r="A12" s="17" t="s">
        <v>73</v>
      </c>
    </row>
    <row r="13" spans="1:7" s="8" customFormat="1" ht="14">
      <c r="A13" s="8" t="s">
        <v>74</v>
      </c>
      <c r="C13" s="18">
        <f>D2</f>
        <v>0.58399999999999996</v>
      </c>
      <c r="D13" s="8" t="s">
        <v>75</v>
      </c>
      <c r="F13" s="19">
        <f>D8</f>
        <v>72</v>
      </c>
      <c r="G13" s="20"/>
    </row>
    <row r="14" spans="1:7" s="8" customFormat="1" ht="14">
      <c r="A14" s="8" t="s">
        <v>76</v>
      </c>
      <c r="C14" s="18">
        <f>D3</f>
        <v>0.86</v>
      </c>
      <c r="D14" s="8" t="s">
        <v>77</v>
      </c>
      <c r="F14" s="21">
        <f>D9</f>
        <v>3125.7</v>
      </c>
      <c r="G14" s="20"/>
    </row>
    <row r="15" spans="1:7" s="8" customFormat="1" ht="14">
      <c r="A15" s="8" t="s">
        <v>78</v>
      </c>
      <c r="C15" s="18">
        <f ca="1">(C13*F14+C26*F13)/(F14+F13)</f>
        <v>0.57627378719595956</v>
      </c>
      <c r="D15" s="8" t="s">
        <v>79</v>
      </c>
      <c r="F15" s="22">
        <f>D7</f>
        <v>1.67E-2</v>
      </c>
    </row>
    <row r="16" spans="1:7" s="8" customFormat="1" ht="14">
      <c r="A16" s="8" t="s">
        <v>80</v>
      </c>
      <c r="C16" s="18">
        <f>C14</f>
        <v>0.86</v>
      </c>
      <c r="D16" s="8" t="s">
        <v>81</v>
      </c>
      <c r="F16" s="23">
        <f>D5^2</f>
        <v>0.36</v>
      </c>
    </row>
    <row r="17" spans="1:7" s="8" customFormat="1" ht="14">
      <c r="A17" s="8" t="s">
        <v>82</v>
      </c>
      <c r="C17" s="18">
        <f>D4</f>
        <v>5</v>
      </c>
      <c r="D17" s="8" t="s">
        <v>83</v>
      </c>
      <c r="F17" s="22">
        <f>D6</f>
        <v>0</v>
      </c>
    </row>
    <row r="18" spans="1:7" s="8" customFormat="1" ht="14">
      <c r="C18" s="17"/>
      <c r="D18" s="8" t="s">
        <v>84</v>
      </c>
      <c r="F18" s="24">
        <f>F15-F17</f>
        <v>1.67E-2</v>
      </c>
    </row>
    <row r="19" spans="1:7" s="8" customFormat="1" ht="14"/>
    <row r="20" spans="1:7" s="8" customFormat="1" ht="14">
      <c r="A20" s="8" t="s">
        <v>85</v>
      </c>
      <c r="B20" s="19">
        <f ca="1">(LN(C15/C16)+(F18+(F16/2))*C17)/(((F16)^(0.5))*(C17^0.5))</f>
        <v>0.43465470741354667</v>
      </c>
    </row>
    <row r="21" spans="1:7" s="8" customFormat="1" ht="14">
      <c r="A21" s="8" t="s">
        <v>86</v>
      </c>
      <c r="B21" s="19">
        <f ca="1">NORMSDIST(B20)</f>
        <v>0.66809346055156915</v>
      </c>
    </row>
    <row r="22" spans="1:7" s="8" customFormat="1" ht="14"/>
    <row r="23" spans="1:7" s="8" customFormat="1" ht="15.75" customHeight="1">
      <c r="A23" s="8" t="s">
        <v>87</v>
      </c>
      <c r="B23" s="19">
        <f ca="1">B20-((F16^0.5)*(C17^(0.5)))</f>
        <v>-0.90698607908632711</v>
      </c>
    </row>
    <row r="24" spans="1:7" s="8" customFormat="1" ht="14">
      <c r="A24" s="8" t="s">
        <v>88</v>
      </c>
      <c r="B24" s="19">
        <f ca="1">NORMSDIST(B23)</f>
        <v>0.18220707943499687</v>
      </c>
    </row>
    <row r="25" spans="1:7" ht="15" thickBot="1">
      <c r="A25" s="8"/>
      <c r="B25" s="8"/>
    </row>
    <row r="26" spans="1:7" s="8" customFormat="1" ht="15" thickBot="1">
      <c r="A26" s="8" t="s">
        <v>89</v>
      </c>
      <c r="C26" s="25">
        <f ca="1">((EXP((0-F17)*C17))*C15*B21-C16*(EXP((0-F15)*C17))*B24)</f>
        <v>0.24085957397434685</v>
      </c>
      <c r="G26" s="26"/>
    </row>
    <row r="27" spans="1:7" s="8" customFormat="1" ht="15" thickBot="1">
      <c r="A27" s="8" t="s">
        <v>90</v>
      </c>
      <c r="D27" s="27">
        <f ca="1">C26*D8</f>
        <v>17.341889326152973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topLeftCell="A5" workbookViewId="0">
      <selection activeCell="D17" sqref="D17"/>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0</v>
      </c>
      <c r="I5" s="123">
        <f>IF(H5=0,0,VLOOKUP(G5,'Country equity risk premiums'!$A$5:$D$190,4))</f>
        <v>0</v>
      </c>
      <c r="J5" s="123">
        <f t="shared" ref="J5:J12" si="0">IF(H5&gt;0,H5/$H$18,)</f>
        <v>0</v>
      </c>
      <c r="K5" s="123">
        <f t="shared" ref="K5:K12" si="1">IF(J5=0,0,I5*J5)</f>
        <v>0</v>
      </c>
      <c r="M5" s="428" t="s">
        <v>663</v>
      </c>
      <c r="N5" s="428"/>
      <c r="O5" s="428"/>
      <c r="P5" s="428"/>
      <c r="Q5" s="428"/>
    </row>
    <row r="6" spans="1:17" s="8" customFormat="1" ht="15" customHeight="1">
      <c r="A6" s="114" t="s">
        <v>185</v>
      </c>
      <c r="B6" s="120">
        <f>'Input sheet'!B19</f>
        <v>3125.7</v>
      </c>
      <c r="G6" s="230" t="s">
        <v>273</v>
      </c>
      <c r="H6" s="162">
        <v>51942</v>
      </c>
      <c r="I6" s="123">
        <f>IF(H6=0,0,VLOOKUP(G6,'Country equity risk premiums'!$A$5:$D$190,4))</f>
        <v>6.5266816753705159E-2</v>
      </c>
      <c r="J6" s="123">
        <f t="shared" si="0"/>
        <v>0.31003855933720914</v>
      </c>
      <c r="K6" s="123">
        <f t="shared" si="1"/>
        <v>2.0235229838844373E-2</v>
      </c>
      <c r="M6" s="428"/>
      <c r="N6" s="428"/>
      <c r="O6" s="428"/>
      <c r="P6" s="428"/>
      <c r="Q6" s="428"/>
    </row>
    <row r="7" spans="1:17" s="8" customFormat="1" ht="15" customHeight="1">
      <c r="A7" s="114" t="s">
        <v>186</v>
      </c>
      <c r="B7" s="121">
        <f>'Input sheet'!B20</f>
        <v>0.58399999999999996</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1.2472757421221403</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1.67E-2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446</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0.08</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7.1223380303824607E-2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115592</v>
      </c>
      <c r="I16" s="349">
        <v>7.3899999999999993E-2</v>
      </c>
      <c r="J16" s="123">
        <f>IF(H16&gt;0,H16/$H$18,)</f>
        <v>0.68996144066279086</v>
      </c>
      <c r="K16" s="123">
        <f>IF(J16=0,0,I16*J16)</f>
        <v>5.0988150464980238E-2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323.8</v>
      </c>
      <c r="G18" s="163" t="s">
        <v>384</v>
      </c>
      <c r="H18" s="163">
        <f>SUM(H5:H17)</f>
        <v>167534</v>
      </c>
      <c r="I18" s="163"/>
      <c r="J18" s="123">
        <f>SUM(J5:J17)</f>
        <v>1</v>
      </c>
      <c r="K18" s="123">
        <f>SUM(K5:K17)</f>
        <v>7.1223380303824607E-2</v>
      </c>
      <c r="M18" s="428"/>
      <c r="N18" s="428"/>
      <c r="O18" s="428"/>
      <c r="P18" s="428"/>
      <c r="Q18" s="428"/>
    </row>
    <row r="19" spans="1:17" s="8" customFormat="1" ht="15" customHeight="1">
      <c r="A19" s="8" t="s">
        <v>190</v>
      </c>
      <c r="B19" s="121">
        <f>'Input sheet'!B10</f>
        <v>21.4</v>
      </c>
      <c r="G19" s="129" t="s">
        <v>451</v>
      </c>
      <c r="M19" s="428"/>
      <c r="N19" s="428"/>
      <c r="O19" s="428"/>
      <c r="P19" s="428"/>
      <c r="Q19" s="428"/>
    </row>
    <row r="20" spans="1:17" s="8" customFormat="1" ht="15" customHeight="1">
      <c r="A20" s="8" t="s">
        <v>191</v>
      </c>
      <c r="B20" s="115">
        <v>3</v>
      </c>
      <c r="G20" s="19" t="s">
        <v>357</v>
      </c>
      <c r="H20" s="19" t="s">
        <v>11</v>
      </c>
      <c r="I20" s="19" t="s">
        <v>381</v>
      </c>
      <c r="J20" s="19" t="s">
        <v>383</v>
      </c>
      <c r="K20" s="19" t="s">
        <v>382</v>
      </c>
    </row>
    <row r="21" spans="1:17" s="8" customFormat="1" ht="15" customHeight="1">
      <c r="A21" s="8" t="s">
        <v>456</v>
      </c>
      <c r="B21" s="132" t="s">
        <v>453</v>
      </c>
      <c r="G21" s="19" t="str">
        <f>'Country equity risk premiums'!A194</f>
        <v>Africa &amp; Mid East</v>
      </c>
      <c r="H21" s="230">
        <v>0</v>
      </c>
      <c r="I21" s="24">
        <f>'Country equity risk premiums'!B194</f>
        <v>9.1011656903819543E-2</v>
      </c>
      <c r="J21" s="123">
        <f t="shared" ref="J21:J29" si="2">H21/$H$32</f>
        <v>0</v>
      </c>
      <c r="K21" s="165">
        <f>I21*J21</f>
        <v>0</v>
      </c>
    </row>
    <row r="22" spans="1:17" s="8" customFormat="1" ht="15" customHeight="1">
      <c r="A22" s="8" t="s">
        <v>458</v>
      </c>
      <c r="B22" s="234">
        <f>B19/B18</f>
        <v>6.6090179122915371E-2</v>
      </c>
      <c r="G22" s="19" t="str">
        <f>'Country equity risk premiums'!A195</f>
        <v>Australia, NZ &amp; Canada</v>
      </c>
      <c r="H22" s="230">
        <v>0</v>
      </c>
      <c r="I22" s="24">
        <f>'Country equity risk premiums'!B195</f>
        <v>5.5523552295498525E-2</v>
      </c>
      <c r="J22" s="123">
        <f t="shared" si="2"/>
        <v>0</v>
      </c>
      <c r="K22" s="165">
        <f t="shared" ref="K22:K29" si="3">I22*J22</f>
        <v>0</v>
      </c>
    </row>
    <row r="23" spans="1:17" s="8" customFormat="1" ht="15" customHeight="1">
      <c r="A23" s="8" t="s">
        <v>457</v>
      </c>
      <c r="B23" s="132" t="s">
        <v>472</v>
      </c>
      <c r="G23" s="19" t="str">
        <f>'Country equity risk premiums'!A196</f>
        <v>Latin America &amp; Caribbean</v>
      </c>
      <c r="H23" s="230">
        <v>0</v>
      </c>
      <c r="I23" s="24">
        <f>'Country equity risk premiums'!B196</f>
        <v>0.10326101446405153</v>
      </c>
      <c r="J23" s="123">
        <f t="shared" si="2"/>
        <v>0</v>
      </c>
      <c r="K23" s="165">
        <f t="shared" si="3"/>
        <v>0</v>
      </c>
    </row>
    <row r="24" spans="1:17" s="8" customFormat="1" ht="15" customHeight="1">
      <c r="A24" s="8" t="s">
        <v>474</v>
      </c>
      <c r="B24" s="132">
        <v>2</v>
      </c>
      <c r="G24" s="19" t="str">
        <f>'Country equity risk premiums'!A197</f>
        <v>Japan</v>
      </c>
      <c r="H24" s="230">
        <v>0</v>
      </c>
      <c r="I24" s="24">
        <f>'Country equity risk premiums'!B197</f>
        <v>6.5266816753705159E-2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6.6090179122915371E-2</v>
      </c>
      <c r="G25" s="19" t="str">
        <f>'Country equity risk premiums'!A198</f>
        <v>US</v>
      </c>
      <c r="H25" s="230">
        <v>0</v>
      </c>
      <c r="I25" s="24">
        <f>'Country equity risk premiums'!B198</f>
        <v>5.5500000000000001E-2</v>
      </c>
      <c r="J25" s="123">
        <f t="shared" si="2"/>
        <v>0</v>
      </c>
      <c r="K25" s="165">
        <f t="shared" si="3"/>
        <v>0</v>
      </c>
    </row>
    <row r="26" spans="1:17" s="8" customFormat="1" ht="15" customHeight="1">
      <c r="A26" s="8" t="s">
        <v>192</v>
      </c>
      <c r="B26" s="236">
        <f>'Input sheet'!B22</f>
        <v>0.25</v>
      </c>
      <c r="G26" s="19" t="str">
        <f>'Country equity risk premiums'!A199</f>
        <v>Europe</v>
      </c>
      <c r="H26" s="230">
        <v>1646</v>
      </c>
      <c r="I26" s="24">
        <f>'Country equity risk premiums'!B199</f>
        <v>6.6999442653654429E-2</v>
      </c>
      <c r="J26" s="123">
        <f t="shared" si="2"/>
        <v>0.2030344147033428</v>
      </c>
      <c r="K26" s="165">
        <f t="shared" si="3"/>
        <v>1.3603192624634908E-2</v>
      </c>
    </row>
    <row r="27" spans="1:17" s="8" customFormat="1" ht="15" customHeight="1">
      <c r="B27" s="116"/>
      <c r="G27" s="19" t="str">
        <f>'Country equity risk premiums'!A200</f>
        <v>Emerging Markets</v>
      </c>
      <c r="H27" s="230">
        <v>0</v>
      </c>
      <c r="I27" s="24">
        <f>'Country equity risk premiums'!B200</f>
        <v>8.1209166095167512E-2</v>
      </c>
      <c r="J27" s="123">
        <f t="shared" si="2"/>
        <v>0</v>
      </c>
      <c r="K27" s="165">
        <f t="shared" si="3"/>
        <v>0</v>
      </c>
    </row>
    <row r="28" spans="1:17" s="8" customFormat="1" ht="15" customHeight="1">
      <c r="A28" s="8" t="s">
        <v>193</v>
      </c>
      <c r="B28" s="115">
        <v>0</v>
      </c>
      <c r="G28" s="19" t="str">
        <f>'Country equity risk premiums'!A201</f>
        <v>Asia</v>
      </c>
      <c r="H28" s="230">
        <v>887</v>
      </c>
      <c r="I28" s="24">
        <f>'Country equity risk premiums'!B201</f>
        <v>7.0246172674804472E-2</v>
      </c>
      <c r="J28" s="123">
        <f t="shared" si="2"/>
        <v>0.10941161958801036</v>
      </c>
      <c r="K28" s="165">
        <f t="shared" si="3"/>
        <v>7.6857475222093952E-3</v>
      </c>
    </row>
    <row r="29" spans="1:17" s="8" customFormat="1" ht="15" customHeight="1">
      <c r="A29" s="8" t="s">
        <v>194</v>
      </c>
      <c r="B29" s="115">
        <v>0</v>
      </c>
      <c r="G29" s="19" t="str">
        <f>'Country equity risk premiums'!A202</f>
        <v>North America</v>
      </c>
      <c r="H29" s="230">
        <v>5574</v>
      </c>
      <c r="I29" s="24">
        <f>'Country equity risk premiums'!B202</f>
        <v>5.5500000000000001E-2</v>
      </c>
      <c r="J29" s="123">
        <f t="shared" si="2"/>
        <v>0.6875539657086468</v>
      </c>
      <c r="K29" s="165">
        <f t="shared" si="3"/>
        <v>3.81592450968299E-2</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8107</v>
      </c>
      <c r="I32" s="125"/>
      <c r="J32" s="123">
        <f>SUM(J21:J31)</f>
        <v>1</v>
      </c>
      <c r="K32" s="166">
        <f>SUM(K21:K31)</f>
        <v>5.9448185243674206E-2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323.8</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1.4132116760205427</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1825.4087999999997</v>
      </c>
      <c r="C48" s="122">
        <f>C41+C42+C43</f>
        <v>323.8</v>
      </c>
      <c r="D48" s="122">
        <f>B36*B37</f>
        <v>0</v>
      </c>
      <c r="E48" s="121">
        <f>SUM(B48:D48)</f>
        <v>2149.2087999999999</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0.84933990592258868</v>
      </c>
      <c r="C49" s="123">
        <f>C48/$E$48</f>
        <v>0.15066009407741121</v>
      </c>
      <c r="D49" s="123">
        <f>D48/$E$48</f>
        <v>0</v>
      </c>
      <c r="E49" s="124">
        <f>SUM(B49:D49)</f>
        <v>0.99999999999999989</v>
      </c>
      <c r="F49" s="8"/>
    </row>
    <row r="50" spans="1:11" ht="20" thickBot="1">
      <c r="A50" s="19" t="s">
        <v>210</v>
      </c>
      <c r="B50" s="125">
        <f>B12+C45*B15</f>
        <v>0.11735371265101649</v>
      </c>
      <c r="C50" s="123">
        <f>B25*(1-B26)</f>
        <v>4.9567634342186528E-2</v>
      </c>
      <c r="D50" s="126">
        <f>B38/B37</f>
        <v>7.1428571428571425E-2</v>
      </c>
      <c r="E50" s="127">
        <f>B49*B50+C49*C50+D49*D50</f>
        <v>0.10714105571586939</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4" sqref="B14"/>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3</v>
      </c>
      <c r="G6" s="8" t="s">
        <v>410</v>
      </c>
    </row>
    <row r="7" spans="1:10" s="8" customFormat="1" ht="14">
      <c r="A7" s="8" t="s">
        <v>411</v>
      </c>
      <c r="F7" s="33">
        <f>'Trailing 12 month'!E3</f>
        <v>14731</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11581</v>
      </c>
      <c r="C11" s="185" t="s">
        <v>416</v>
      </c>
      <c r="D11" s="185"/>
      <c r="E11" s="185"/>
      <c r="F11" s="185"/>
      <c r="G11" s="185"/>
      <c r="H11" s="185"/>
      <c r="I11" s="185"/>
    </row>
    <row r="12" spans="1:10" s="186" customFormat="1" ht="14">
      <c r="A12" s="187">
        <f>IF((0-A11)&lt;$F$6,IF(A11&gt;-1,,A11-1),)</f>
        <v>-2</v>
      </c>
      <c r="B12" s="188">
        <v>10045</v>
      </c>
      <c r="C12" s="185" t="s">
        <v>417</v>
      </c>
      <c r="D12" s="185"/>
      <c r="E12" s="185"/>
      <c r="F12" s="185"/>
      <c r="G12" s="185"/>
      <c r="H12" s="185"/>
      <c r="I12" s="185"/>
    </row>
    <row r="13" spans="1:10" s="186" customFormat="1" ht="14">
      <c r="A13" s="187">
        <f t="shared" ref="A13:A20" si="0">IF((0-A12)&lt;$F$6,IF(A12&gt;-1,,A12-1),)</f>
        <v>-3</v>
      </c>
      <c r="B13" s="188">
        <v>8067</v>
      </c>
      <c r="C13" s="185"/>
      <c r="D13" s="185"/>
      <c r="E13" s="185"/>
      <c r="F13" s="185"/>
      <c r="G13" s="185"/>
      <c r="H13" s="185"/>
      <c r="I13" s="185"/>
    </row>
    <row r="14" spans="1:10" s="186" customFormat="1" ht="14">
      <c r="A14" s="187">
        <f t="shared" si="0"/>
        <v>0</v>
      </c>
      <c r="B14" s="188"/>
      <c r="C14" s="185"/>
      <c r="D14" s="185"/>
      <c r="E14" s="185"/>
      <c r="F14" s="185"/>
      <c r="G14" s="185"/>
      <c r="H14" s="185"/>
      <c r="I14" s="185"/>
    </row>
    <row r="15" spans="1:10" s="186" customFormat="1" ht="14">
      <c r="A15" s="187">
        <f t="shared" si="0"/>
        <v>0</v>
      </c>
      <c r="B15" s="188"/>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14731</v>
      </c>
      <c r="C24" s="184">
        <f>1</f>
        <v>1</v>
      </c>
      <c r="D24" s="184">
        <f>B24*C24</f>
        <v>14731</v>
      </c>
      <c r="E24" s="185"/>
      <c r="F24" s="185"/>
      <c r="G24" s="185"/>
      <c r="H24" s="185"/>
      <c r="I24" s="185"/>
    </row>
    <row r="25" spans="1:9" s="186" customFormat="1" ht="14">
      <c r="A25" s="187">
        <f>A11</f>
        <v>-1</v>
      </c>
      <c r="B25" s="184">
        <f>B11</f>
        <v>11581</v>
      </c>
      <c r="C25" s="184">
        <f>IF(A25&lt;0,($F$6+A25)/$F$6,0)</f>
        <v>0.66666666666666663</v>
      </c>
      <c r="D25" s="184">
        <f>B25*C25</f>
        <v>7720.6666666666661</v>
      </c>
      <c r="E25" s="192">
        <f t="shared" ref="E25:E34" si="1">IF(A25&lt;0,B25/$F$6,0)</f>
        <v>3860.3333333333335</v>
      </c>
      <c r="F25" s="185"/>
      <c r="G25" s="185"/>
      <c r="H25" s="185"/>
      <c r="I25" s="185"/>
    </row>
    <row r="26" spans="1:9" s="186" customFormat="1" ht="14">
      <c r="A26" s="187">
        <f t="shared" ref="A26:B34" si="2">A12</f>
        <v>-2</v>
      </c>
      <c r="B26" s="184">
        <f t="shared" si="2"/>
        <v>10045</v>
      </c>
      <c r="C26" s="184">
        <f>IF(A26&lt;0,($F$6+A26)/$F$6,0)</f>
        <v>0.33333333333333331</v>
      </c>
      <c r="D26" s="184">
        <f t="shared" ref="D26:D34" si="3">B26*C26</f>
        <v>3348.333333333333</v>
      </c>
      <c r="E26" s="192">
        <f t="shared" si="1"/>
        <v>3348.3333333333335</v>
      </c>
      <c r="F26" s="185"/>
      <c r="G26" s="185"/>
      <c r="H26" s="185"/>
      <c r="I26" s="185"/>
    </row>
    <row r="27" spans="1:9" s="186" customFormat="1" ht="14">
      <c r="A27" s="187">
        <f t="shared" si="2"/>
        <v>-3</v>
      </c>
      <c r="B27" s="184">
        <f t="shared" si="2"/>
        <v>8067</v>
      </c>
      <c r="C27" s="184">
        <f>IF(A27&lt;0,($F$6+A27)/$F$6,0)</f>
        <v>0</v>
      </c>
      <c r="D27" s="184">
        <f t="shared" si="3"/>
        <v>0</v>
      </c>
      <c r="E27" s="192">
        <f t="shared" si="1"/>
        <v>2689</v>
      </c>
      <c r="F27" s="185"/>
      <c r="G27" s="185"/>
      <c r="H27" s="185"/>
      <c r="I27" s="185"/>
    </row>
    <row r="28" spans="1:9" s="186" customFormat="1" ht="14">
      <c r="A28" s="187">
        <f t="shared" si="2"/>
        <v>0</v>
      </c>
      <c r="B28" s="184">
        <f t="shared" si="2"/>
        <v>0</v>
      </c>
      <c r="C28" s="184">
        <f t="shared" ref="C28:C34" si="4">IF(A28&lt;0,($F$6+A28)/$F$6,0)</f>
        <v>0</v>
      </c>
      <c r="D28" s="184">
        <f t="shared" si="3"/>
        <v>0</v>
      </c>
      <c r="E28" s="192">
        <f t="shared" si="1"/>
        <v>0</v>
      </c>
      <c r="F28" s="185"/>
      <c r="G28" s="185"/>
      <c r="H28" s="185"/>
      <c r="I28" s="185"/>
    </row>
    <row r="29" spans="1:9" s="186" customFormat="1" ht="14">
      <c r="A29" s="187">
        <f t="shared" si="2"/>
        <v>0</v>
      </c>
      <c r="B29" s="184">
        <f t="shared" si="2"/>
        <v>0</v>
      </c>
      <c r="C29" s="184">
        <f t="shared" si="4"/>
        <v>0</v>
      </c>
      <c r="D29" s="184">
        <f t="shared" si="3"/>
        <v>0</v>
      </c>
      <c r="E29" s="192">
        <f t="shared" si="1"/>
        <v>0</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25799.999999999996</v>
      </c>
      <c r="E35" s="25">
        <f>SUM(E25:E34)</f>
        <v>9897.6666666666679</v>
      </c>
    </row>
    <row r="36" spans="1:9" ht="13" thickBot="1"/>
    <row r="37" spans="1:9" s="8" customFormat="1" ht="15" thickBot="1">
      <c r="A37" s="8" t="s">
        <v>423</v>
      </c>
      <c r="D37" s="195">
        <f>E35</f>
        <v>9897.6666666666679</v>
      </c>
    </row>
    <row r="38" spans="1:9" s="8" customFormat="1" ht="15" thickBot="1"/>
    <row r="39" spans="1:9" s="8" customFormat="1" ht="14">
      <c r="A39" s="8" t="s">
        <v>424</v>
      </c>
      <c r="D39" s="196">
        <f>F7-D37</f>
        <v>4833.3333333333321</v>
      </c>
      <c r="E39" s="8" t="s">
        <v>425</v>
      </c>
    </row>
    <row r="40" spans="1:9" ht="14">
      <c r="A40" t="s">
        <v>426</v>
      </c>
      <c r="D40" s="197">
        <f>D39*'Input sheet'!B22</f>
        <v>1208.333333333333</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258.60000000000002</v>
      </c>
    </row>
    <row r="5" spans="1:11" s="15" customFormat="1" ht="14">
      <c r="A5" s="15" t="s">
        <v>119</v>
      </c>
    </row>
    <row r="6" spans="1:11" s="8" customFormat="1" ht="14">
      <c r="A6" s="30" t="s">
        <v>120</v>
      </c>
      <c r="B6" s="30" t="s">
        <v>121</v>
      </c>
      <c r="C6" s="8" t="s">
        <v>122</v>
      </c>
    </row>
    <row r="7" spans="1:11" s="8" customFormat="1" ht="14">
      <c r="A7" s="30">
        <v>1</v>
      </c>
      <c r="B7" s="327">
        <v>215.63399999999999</v>
      </c>
    </row>
    <row r="8" spans="1:11" s="8" customFormat="1" ht="14">
      <c r="A8" s="30">
        <v>2</v>
      </c>
      <c r="B8" s="327">
        <v>185.90199999999999</v>
      </c>
    </row>
    <row r="9" spans="1:11" s="8" customFormat="1" ht="14">
      <c r="A9" s="30">
        <v>3</v>
      </c>
      <c r="B9" s="327">
        <v>152.512</v>
      </c>
    </row>
    <row r="10" spans="1:11" s="8" customFormat="1" ht="14">
      <c r="A10" s="30">
        <v>4</v>
      </c>
      <c r="B10" s="327">
        <v>129.67500000000001</v>
      </c>
    </row>
    <row r="11" spans="1:11" s="8" customFormat="1" ht="14">
      <c r="A11" s="30">
        <v>5</v>
      </c>
      <c r="B11" s="327">
        <v>98.319000000000003</v>
      </c>
    </row>
    <row r="12" spans="1:11" s="8" customFormat="1" ht="14">
      <c r="A12" s="30" t="s">
        <v>123</v>
      </c>
      <c r="B12" s="326">
        <v>218.482</v>
      </c>
    </row>
    <row r="13" spans="1:11" s="8" customFormat="1" ht="14"/>
    <row r="14" spans="1:11" s="31" customFormat="1" ht="17" thickBot="1">
      <c r="A14" s="31" t="s">
        <v>124</v>
      </c>
    </row>
    <row r="15" spans="1:11" s="8" customFormat="1" ht="15" thickBot="1">
      <c r="A15" s="8" t="s">
        <v>125</v>
      </c>
      <c r="C15" s="80">
        <f>'Cost of capital worksheet'!B25</f>
        <v>6.6090179122915371E-2</v>
      </c>
      <c r="D15" s="8" t="s">
        <v>237</v>
      </c>
    </row>
    <row r="16" spans="1:11" s="8" customFormat="1" ht="14"/>
    <row r="17" spans="1:7" s="8" customFormat="1" ht="14">
      <c r="D17" s="34"/>
    </row>
    <row r="18" spans="1:7" s="8" customFormat="1" ht="14">
      <c r="A18" s="8" t="s">
        <v>126</v>
      </c>
      <c r="D18" s="35">
        <f>IF(B12&gt;0,ROUND(B12/AVERAGE(B7:B11),0),0)</f>
        <v>1</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215.63399999999999</v>
      </c>
      <c r="C22" s="9">
        <f>B22/(1+$C$15)^A22</f>
        <v>202.26619119351099</v>
      </c>
    </row>
    <row r="23" spans="1:7" s="8" customFormat="1" ht="14">
      <c r="A23" s="19">
        <f t="shared" ref="A23:B26" si="0">A8</f>
        <v>2</v>
      </c>
      <c r="B23" s="28">
        <f t="shared" si="0"/>
        <v>185.90199999999999</v>
      </c>
      <c r="C23" s="9">
        <f>B23/(1+$C$15)^A23</f>
        <v>163.56718399329188</v>
      </c>
    </row>
    <row r="24" spans="1:7" s="8" customFormat="1" ht="14">
      <c r="A24" s="19">
        <f t="shared" si="0"/>
        <v>3</v>
      </c>
      <c r="B24" s="28">
        <f t="shared" si="0"/>
        <v>152.512</v>
      </c>
      <c r="C24" s="9">
        <f>B24/(1+$C$15)^A24</f>
        <v>125.86998732182659</v>
      </c>
    </row>
    <row r="25" spans="1:7" s="8" customFormat="1" ht="14">
      <c r="A25" s="19">
        <f t="shared" si="0"/>
        <v>4</v>
      </c>
      <c r="B25" s="28">
        <f t="shared" si="0"/>
        <v>129.67500000000001</v>
      </c>
      <c r="C25" s="9">
        <f>B25/(1+$C$15)^A25</f>
        <v>100.38769584214236</v>
      </c>
    </row>
    <row r="26" spans="1:7" s="8" customFormat="1" ht="14">
      <c r="A26" s="19">
        <f t="shared" si="0"/>
        <v>5</v>
      </c>
      <c r="B26" s="28">
        <f t="shared" si="0"/>
        <v>98.319000000000003</v>
      </c>
      <c r="C26" s="9">
        <f>B26/(1+$C$15)^A26</f>
        <v>71.394990406260405</v>
      </c>
    </row>
    <row r="27" spans="1:7" s="8" customFormat="1" ht="15" thickBot="1">
      <c r="A27" s="36" t="str">
        <f>A12</f>
        <v>6 and beyond</v>
      </c>
      <c r="B27" s="37">
        <f>IF(B12&gt;0,IF(D18&gt;0,B12/D18,B12),0)</f>
        <v>218.482</v>
      </c>
      <c r="C27" s="38">
        <f>IF(D18&gt;0,(B27*(1-(1+C15)^(-D18))/C15)/(1+$C$15)^5,B27/(1+C15)^6)</f>
        <v>148.81681551168194</v>
      </c>
      <c r="D27" s="8" t="s">
        <v>131</v>
      </c>
    </row>
    <row r="28" spans="1:7" s="8" customFormat="1" ht="15" thickBot="1">
      <c r="A28" s="32" t="s">
        <v>132</v>
      </c>
      <c r="B28" s="39"/>
      <c r="C28" s="40">
        <f>SUM(C22:C27)</f>
        <v>812.30286426871419</v>
      </c>
    </row>
    <row r="29" spans="1:7" s="8" customFormat="1" ht="14"/>
    <row r="30" spans="1:7" s="8" customFormat="1" ht="14">
      <c r="A30" s="15" t="s">
        <v>133</v>
      </c>
    </row>
    <row r="31" spans="1:7" s="8" customFormat="1" ht="15" thickBot="1">
      <c r="A31" s="8" t="s">
        <v>134</v>
      </c>
      <c r="F31" s="38">
        <f>C28/(5+D18)</f>
        <v>135.38381071145236</v>
      </c>
      <c r="G31" s="8" t="s">
        <v>135</v>
      </c>
    </row>
    <row r="32" spans="1:7" s="8" customFormat="1" ht="15" thickBot="1">
      <c r="A32" s="8" t="s">
        <v>136</v>
      </c>
      <c r="F32" s="81">
        <f>E4-F31</f>
        <v>123.21618928854767</v>
      </c>
      <c r="G32" s="8" t="s">
        <v>138</v>
      </c>
    </row>
    <row r="33" spans="1:7" s="8" customFormat="1" ht="15" thickBot="1">
      <c r="A33" s="8" t="s">
        <v>137</v>
      </c>
      <c r="F33" s="41">
        <f>C28</f>
        <v>812.30286426871419</v>
      </c>
      <c r="G33" s="8" t="s">
        <v>139</v>
      </c>
    </row>
    <row r="34" spans="1:7" ht="14">
      <c r="A34" s="8" t="s">
        <v>498</v>
      </c>
      <c r="F34" s="241">
        <f>C28/(5+D18)</f>
        <v>135.38381071145236</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2020-01-11T04:57:25Z</dcterms:modified>
</cp:coreProperties>
</file>