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2C69D9F1-F250-8741-A91A-46CDE0C98B03}"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E48" i="19" s="1"/>
  <c r="C27" i="18"/>
  <c r="C26" i="18"/>
  <c r="C24" i="18"/>
  <c r="C23" i="18"/>
  <c r="C22" i="18"/>
  <c r="C25" i="18"/>
  <c r="C45" i="19" l="1"/>
  <c r="B50" i="19" s="1"/>
  <c r="C28" i="18"/>
  <c r="C49" i="19"/>
  <c r="B49" i="19"/>
  <c r="D49" i="19"/>
  <c r="E50" i="19" l="1"/>
  <c r="B30" i="11" s="1"/>
  <c r="C12" i="13" s="1"/>
  <c r="E49" i="19"/>
  <c r="F34" i="18"/>
  <c r="F33" i="18"/>
  <c r="B39" i="13" s="1"/>
  <c r="F31" i="18"/>
  <c r="F32" i="18" s="1"/>
  <c r="B5" i="13" s="1"/>
  <c r="B7" i="13" l="1"/>
  <c r="B4" i="13"/>
  <c r="I25" i="11"/>
  <c r="B27" i="11" s="1"/>
  <c r="G15" i="29"/>
  <c r="B2" i="12"/>
  <c r="H28" i="29"/>
  <c r="B40" i="29" s="1"/>
  <c r="C40" i="29" s="1"/>
  <c r="C14" i="28"/>
  <c r="C13" i="13"/>
  <c r="D12" i="13"/>
  <c r="C38" i="13" l="1"/>
  <c r="D12" i="28"/>
  <c r="E12" i="13"/>
  <c r="H29" i="29"/>
  <c r="B41" i="29" s="1"/>
  <c r="C41" i="29" s="1"/>
  <c r="D2" i="29"/>
  <c r="E2" i="29" s="1"/>
  <c r="B10" i="28"/>
  <c r="C10" i="28" s="1"/>
  <c r="I24" i="11"/>
  <c r="D13" i="13"/>
  <c r="E13" i="13" s="1"/>
  <c r="I26" i="11"/>
  <c r="B40" i="13"/>
  <c r="B13" i="28" s="1"/>
  <c r="H2" i="29"/>
  <c r="B15" i="29" s="1"/>
  <c r="H15" i="29" s="1"/>
  <c r="G2" i="29" l="1"/>
  <c r="C4" i="13"/>
  <c r="G4" i="13"/>
  <c r="H4" i="13"/>
  <c r="J4" i="13"/>
  <c r="I4" i="13"/>
  <c r="F4" i="13"/>
  <c r="L4" i="13"/>
  <c r="D4" i="13"/>
  <c r="E4" i="13"/>
  <c r="K4" i="13"/>
  <c r="F12" i="13"/>
  <c r="H30" i="29"/>
  <c r="B42" i="29" s="1"/>
  <c r="C42" i="29" s="1"/>
  <c r="D38" i="13"/>
  <c r="C8" i="13"/>
  <c r="D16" i="29"/>
  <c r="E16" i="29" s="1"/>
  <c r="G16" i="29" s="1"/>
  <c r="D6" i="29" l="1"/>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<sst xmlns="http://schemas.openxmlformats.org/spreadsheetml/2006/main" count="1396" uniqueCount="765">
  <si>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</si>
  <si>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</si>
  <si>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</si>
  <si>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</si>
  <si>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</si>
  <si>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</si>
  <si>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</si>
  <si>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</si>
  <si>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</si>
  <si>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</si>
  <si>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</si>
  <si>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</si>
  <si>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</si>
  <si>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</si>
  <si>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</si>
  <si>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</si>
  <si>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</si>
  <si>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</si>
  <si>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</si>
  <si>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</si>
  <si>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</si>
  <si>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</si>
  <si>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</si>
  <si>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</si>
  <si>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</si>
  <si>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</si>
  <si>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</si>
  <si>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</si>
  <si>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</si>
  <si>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</si>
  <si>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</si>
  <si>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</si>
  <si>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</si>
  <si>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</si>
  <si>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</si>
  <si>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</si>
  <si>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</si>
  <si>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</si>
  <si>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</si>
  <si>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</si>
  <si>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</si>
  <si>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</si>
  <si>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</si>
  <si>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</si>
  <si>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</si>
  <si>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</si>
  <si>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</si>
  <si>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</si>
  <si>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</si>
  <si>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</si>
  <si>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</si>
  <si>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</si>
  <si>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</si>
  <si>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</si>
  <si>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</si>
  <si>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</si>
  <si>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</si>
  <si>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</si>
  <si>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</si>
  <si>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</si>
  <si>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</si>
  <si>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</si>
  <si>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</si>
  <si>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</si>
  <si>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</si>
  <si>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</si>
  <si>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</si>
  <si>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</si>
  <si>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</si>
  <si>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</si>
  <si>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</si>
  <si>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</si>
  <si>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</si>
  <si>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</si>
  <si>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</si>
  <si>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</si>
  <si>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</si>
  <si>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</si>
  <si>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</si>
  <si>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</si>
  <si>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</si>
  <si>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</si>
  <si>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</si>
  <si>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</si>
  <si>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</si>
  <si>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</si>
  <si>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</si>
  <si>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</si>
  <si>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</si>
  <si>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</si>
  <si>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</si>
  <si>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</si>
  <si>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</si>
  <si>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</si>
  <si>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</si>
  <si>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</si>
  <si>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</si>
  <si>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</si>
  <si>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</si>
  <si>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</si>
  <si>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</si>
  <si>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</si>
  <si>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</si>
  <si>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</si>
  <si>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</si>
  <si>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</si>
  <si>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</si>
  <si>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</si>
  <si>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</si>
  <si>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</si>
  <si>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</si>
  <si>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</si>
  <si>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</si>
  <si>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</si>
  <si>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</si>
  <si>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</si>
  <si>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</si>
  <si>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</si>
  <si>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</si>
  <si>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</si>
  <si>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</si>
  <si>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</si>
  <si>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</si>
  <si>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</si>
  <si>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</si>
  <si>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</si>
  <si>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</si>
  <si>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</si>
  <si>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</si>
  <si>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</si>
  <si>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</si>
  <si>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</si>
  <si>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</si>
  <si>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</si>
  <si>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</si>
  <si>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</si>
  <si>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</si>
  <si>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</si>
  <si>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</si>
  <si>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</si>
  <si>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</si>
  <si>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</si>
  <si>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</si>
  <si>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</si>
  <si>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</si>
  <si>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</si>
  <si>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</si>
  <si>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</si>
  <si>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</si>
  <si>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</si>
  <si>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</si>
  <si>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</si>
  <si>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</si>
  <si>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</si>
  <si>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</si>
  <si>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</si>
  <si>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</si>
  <si>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</si>
  <si>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</si>
  <si>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</si>
  <si>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</si>
  <si>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</si>
  <si>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</si>
  <si>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</si>
  <si>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</si>
  <si>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</si>
  <si>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</si>
  <si>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</si>
  <si>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</si>
  <si>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</si>
  <si>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</si>
  <si>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</si>
  <si>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</si>
  <si>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</si>
  <si>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</si>
  <si>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</si>
  <si>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</si>
  <si>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</si>
  <si>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</si>
  <si>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</si>
  <si>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</si>
  <si>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</si>
  <si>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</si>
  <si>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</si>
  <si>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</si>
  <si>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</si>
  <si>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</si>
  <si>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</si>
  <si>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</si>
  <si>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</si>
  <si>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</si>
  <si>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</si>
  <si>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</si>
  <si>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</si>
  <si>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</si>
  <si>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</si>
  <si>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</si>
  <si>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</si>
  <si>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</si>
  <si>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</si>
  <si>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</si>
  <si>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</si>
  <si>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</si>
  <si>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</si>
  <si>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</si>
  <si>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</si>
  <si>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</si>
  <si>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</si>
  <si>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</si>
  <si>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</si>
  <si>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</si>
  <si>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</si>
  <si>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</si>
  <si>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</si>
  <si>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</si>
  <si>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</si>
  <si>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</si>
  <si>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</si>
  <si>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</si>
  <si>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</si>
  <si>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</si>
  <si>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</si>
  <si>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</si>
  <si>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</si>
  <si>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</si>
  <si>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</si>
  <si>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</si>
  <si>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</si>
  <si>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</si>
  <si>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</si>
  <si>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</si>
  <si>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</si>
  <si>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</si>
  <si>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</si>
  <si>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</si>
  <si>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</si>
  <si>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</si>
  <si>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</si>
  <si>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</si>
  <si>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</si>
  <si>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</si>
  <si>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</si>
  <si>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</si>
  <si>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</si>
  <si>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</si>
  <si>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</si>
  <si>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</si>
  <si>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</si>
  <si>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</si>
  <si>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</si>
  <si>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</si>
  <si>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</si>
  <si>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</si>
  <si>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</si>
  <si>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</si>
  <si>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</si>
  <si>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</si>
  <si>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</si>
  <si>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</si>
  <si>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</si>
  <si>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</si>
  <si>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</si>
  <si>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</si>
  <si>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</si>
  <si>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</si>
  <si>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</si>
  <si>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</si>
  <si>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</si>
  <si>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</si>
  <si>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</si>
  <si>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</si>
  <si>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</si>
  <si>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</si>
  <si>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</si>
  <si>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</si>
  <si>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</si>
  <si>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</si>
  <si>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</si>
  <si>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</si>
  <si>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</si>
  <si>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</si>
  <si>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</si>
  <si>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</si>
  <si>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</si>
  <si>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</si>
  <si>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</si>
  <si>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</si>
  <si>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</si>
  <si>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</si>
  <si>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</si>
  <si>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</si>
  <si>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</si>
  <si>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</si>
  <si>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</si>
  <si>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</si>
  <si>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</si>
  <si>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</si>
  <si>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</si>
  <si>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</si>
  <si>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</si>
  <si>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</si>
  <si>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</si>
  <si>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</si>
  <si>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</si>
  <si>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</si>
  <si>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</si>
  <si>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</si>
  <si>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</si>
  <si>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</si>
  <si>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</si>
  <si>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</si>
  <si>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</si>
  <si>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</si>
  <si>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</si>
  <si>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</si>
  <si>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</si>
  <si>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</si>
  <si>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</si>
  <si>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</si>
  <si>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</si>
  <si>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</si>
  <si>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</si>
  <si>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</si>
  <si>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</si>
  <si>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</si>
  <si>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</si>
  <si>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</si>
  <si>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</si>
  <si>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</si>
  <si>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</si>
  <si>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</si>
  <si>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</si>
  <si>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</si>
  <si>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</si>
  <si>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</si>
  <si>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</si>
  <si>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</si>
  <si>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</si>
  <si>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</si>
  <si>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</si>
  <si>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</si>
  <si>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</si>
  <si>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</si>
  <si>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</si>
  <si>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</si>
  <si>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</si>
  <si>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</si>
  <si>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</si>
  <si>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</si>
  <si>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</si>
  <si>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</si>
  <si>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</si>
  <si>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</si>
  <si>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</si>
  <si>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</si>
  <si>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</si>
  <si>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</si>
  <si>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</si>
  <si>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</si>
  <si>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</si>
  <si>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</si>
  <si>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</si>
  <si>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</si>
  <si>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</si>
  <si>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</si>
  <si>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</si>
  <si>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</si>
  <si>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</si>
  <si>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</si>
  <si>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</si>
  <si>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</si>
  <si>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</si>
  <si>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</si>
  <si>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</si>
  <si>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</si>
  <si>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</si>
  <si>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</si>
  <si>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</si>
  <si>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</si>
  <si>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</si>
  <si>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</si>
  <si>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</si>
  <si>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</si>
  <si>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</si>
  <si>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</si>
  <si>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</si>
  <si>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</si>
  <si>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</si>
  <si>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</si>
  <si>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</si>
  <si>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</si>
  <si>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</si>
  <si>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</si>
  <si>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</si>
  <si>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</si>
  <si>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</si>
  <si>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</si>
  <si>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</si>
  <si>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</si>
  <si>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</si>
  <si>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</si>
  <si>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</si>
  <si>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</si>
  <si>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</si>
  <si>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</si>
  <si>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</si>
  <si>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</si>
  <si>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</si>
  <si>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</si>
  <si>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</si>
  <si>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</si>
  <si>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</si>
  <si>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</si>
  <si>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</si>
  <si>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</si>
  <si>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</si>
  <si>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</si>
  <si>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</si>
  <si>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</si>
  <si>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</si>
  <si>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</si>
  <si>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</si>
  <si>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</si>
  <si>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</si>
  <si>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</si>
  <si>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</si>
  <si>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</si>
  <si>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</si>
  <si>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</si>
  <si>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</si>
  <si>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</si>
  <si>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</si>
  <si>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</si>
  <si>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</si>
  <si>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</si>
  <si>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</si>
  <si>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</si>
  <si>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</si>
  <si>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</si>
  <si>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</si>
  <si>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</si>
  <si>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</si>
  <si>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</si>
  <si>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</si>
  <si>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</si>
  <si>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</si>
  <si>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</si>
  <si>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</si>
  <si>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</si>
  <si>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</si>
  <si>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</si>
  <si>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</si>
  <si>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</si>
  <si>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</si>
  <si>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</si>
  <si>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</si>
  <si>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</si>
  <si>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</si>
  <si>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</si>
  <si>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</si>
  <si>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</si>
  <si>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</si>
  <si>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</si>
  <si>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</si>
  <si>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</si>
  <si>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</si>
  <si>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</si>
  <si>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</si>
  <si>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</si>
  <si>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</si>
  <si>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</si>
  <si>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</si>
  <si>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</si>
  <si>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</si>
  <si>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</si>
  <si>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</si>
  <si>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</si>
  <si>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</si>
  <si>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</si>
  <si>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</si>
  <si>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</si>
  <si>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</si>
  <si>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</si>
  <si>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</si>
  <si>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</si>
  <si>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</si>
  <si>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</si>
  <si>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</si>
  <si>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</si>
  <si>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</si>
  <si>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</si>
  <si>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</si>
  <si>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</si>
  <si>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</si>
  <si>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</si>
  <si>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</si>
  <si>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</si>
  <si>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</si>
  <si>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</si>
  <si>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</si>
  <si>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</si>
  <si>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</si>
  <si>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</si>
  <si>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</si>
  <si>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</si>
  <si>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</si>
  <si>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</si>
  <si>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</si>
  <si>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</si>
  <si>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</si>
  <si>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</si>
  <si>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</si>
  <si>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</si>
  <si>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</si>
  <si>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</si>
  <si>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</si>
  <si>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</si>
  <si>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</si>
  <si>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</si>
  <si>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</si>
  <si>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</si>
  <si>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</si>
  <si>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</si>
  <si>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</si>
  <si>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</si>
  <si>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</si>
  <si>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</si>
  <si>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</si>
  <si>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</si>
  <si>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</si>
  <si>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</si>
  <si>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</si>
  <si>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</si>
  <si>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</si>
  <si>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</si>
  <si>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</si>
  <si>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</si>
  <si>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</si>
  <si>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</si>
  <si>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</si>
  <si>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</si>
  <si>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</si>
  <si>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</si>
  <si>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</si>
  <si>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</si>
  <si>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</si>
  <si>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</si>
  <si>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</si>
  <si>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</si>
  <si>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</si>
  <si>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</si>
  <si>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</si>
  <si>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</si>
  <si>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</si>
  <si>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</si>
  <si>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</si>
  <si>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</si>
  <si>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</si>
  <si>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</si>
  <si>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</si>
  <si>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</si>
  <si>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</si>
  <si>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</si>
  <si>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</si>
  <si>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</si>
  <si>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</si>
  <si>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</si>
  <si>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</si>
  <si>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</si>
  <si>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</si>
  <si>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</si>
  <si>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</si>
  <si>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</si>
  <si>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</si>
  <si>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</si>
  <si>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</si>
  <si>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</si>
  <si>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</si>
  <si>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</si>
  <si>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</si>
  <si>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</si>
  <si>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</si>
  <si>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</si>
  <si>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</si>
  <si>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</si>
  <si>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</si>
  <si>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</si>
  <si>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</si>
  <si>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</si>
  <si>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</si>
  <si>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</si>
  <si>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</si>
  <si>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</si>
  <si>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</si>
  <si>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</si>
  <si>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</si>
  <si>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</si>
  <si>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</si>
  <si>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</si>
  <si>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</si>
  <si>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</si>
  <si>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</si>
  <si>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</si>
  <si>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</si>
  <si>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</si>
  <si>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</si>
  <si>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</si>
  <si>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</si>
  <si>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</si>
  <si>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</si>
  <si>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</si>
  <si>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</si>
  <si>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</si>
  <si>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</si>
  <si>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</si>
  <si>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</si>
  <si>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</si>
  <si>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</si>
  <si>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</si>
  <si>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</si>
  <si>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</si>
  <si>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</si>
  <si>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</si>
  <si>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</si>
  <si>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</si>
  <si>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</si>
  <si>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</si>
  <si>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</si>
  <si>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</si>
  <si>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</si>
  <si>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</si>
  <si>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</si>
  <si>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</si>
  <si>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</si>
  <si>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</si>
  <si>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</si>
  <si>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</si>
  <si>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</si>
  <si>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</si>
  <si>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</si>
  <si>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</si>
  <si>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</si>
  <si>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</si>
  <si>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</si>
  <si>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</si>
  <si>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</si>
  <si>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</si>
  <si>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</si>
  <si>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</si>
  <si>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</si>
  <si>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</si>
  <si>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</si>
  <si>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</si>
  <si>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</si>
  <si>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</si>
  <si>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</si>
  <si>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</si>
  <si>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</si>
  <si>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</si>
  <si>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</si>
  <si>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</si>
  <si>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</si>
  <si>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</si>
  <si>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</si>
  <si>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</si>
  <si>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</si>
  <si>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</si>
  <si>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</si>
  <si>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</si>
  <si>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</si>
  <si>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</si>
  <si>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</si>
  <si>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</si>
  <si>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</si>
  <si>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</si>
  <si>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</si>
  <si>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</si>
  <si>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</si>
  <si>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</si>
  <si>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</si>
  <si>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</si>
  <si>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</si>
  <si>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</si>
  <si>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</si>
  <si>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</si>
  <si>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</si>
  <si>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</si>
  <si>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</si>
  <si>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</si>
  <si>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</si>
  <si>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</si>
  <si>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</si>
  <si>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</si>
  <si>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</si>
  <si>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</si>
  <si>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</si>
  <si>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</si>
  <si>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</si>
  <si>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</si>
  <si>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</si>
  <si>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</si>
  <si>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</si>
  <si>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</si>
  <si>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</si>
  <si>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</si>
  <si>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</si>
  <si>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</si>
  <si>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</si>
  <si>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</si>
  <si>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</si>
  <si>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</si>
  <si>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</si>
  <si>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</si>
  <si>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</si>
  <si>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</si>
  <si>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</si>
  <si>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</si>
  <si>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</si>
  <si>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</si>
  <si>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</si>
  <si>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</si>
  <si>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</si>
  <si>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</si>
  <si>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</si>
  <si>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</si>
  <si>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</si>
  <si>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</si>
  <si>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</si>
  <si>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</si>
  <si>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</si>
  <si>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</si>
  <si>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</si>
  <si>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</si>
  <si>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</si>
  <si>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</si>
  <si>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</si>
  <si>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</si>
  <si>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</si>
  <si>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</si>
  <si>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</si>
  <si>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</si>
  <si>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</si>
  <si>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</si>
  <si>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</si>
  <si>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</si>
  <si>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</si>
  <si>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</si>
  <si>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</si>
  <si>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</si>
  <si>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</si>
  <si>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</si>
  <si>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</si>
  <si>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</si>
  <si>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</si>
  <si>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</si>
  <si>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</si>
  <si>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</si>
  <si>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</si>
  <si>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</si>
  <si>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</si>
  <si>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</si>
  <si>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</si>
  <si>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</si>
  <si>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</si>
  <si>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JW Life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</si>
</sst>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7" sqref="D27"/>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42380</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499</v>
      </c>
      <c r="C5" s="172"/>
      <c r="D5" s="82"/>
      <c r="E5" s="82"/>
      <c r="F5" s="82"/>
      <c r="G5" s="82"/>
      <c r="H5" s="82"/>
      <c r="I5" s="82"/>
    </row>
    <row r="6" spans="1:10" s="56" customFormat="1" ht="13">
      <c r="A6" s="156" t="s">
        <v>438</v>
      </c>
      <c r="B6" s="157" t="s">
        <v>537</v>
      </c>
      <c r="C6" s="82"/>
      <c r="D6" s="82"/>
      <c r="E6" s="82"/>
      <c r="F6" s="82"/>
      <c r="G6" s="82"/>
      <c r="H6" s="82"/>
      <c r="I6" s="82"/>
    </row>
    <row r="7" spans="1:10" s="56" customFormat="1" ht="13">
      <c r="A7" s="156" t="s">
        <v>439</v>
      </c>
      <c r="B7" s="157" t="s">
        <v>537</v>
      </c>
      <c r="C7" s="246" t="s">
        <v>397</v>
      </c>
      <c r="D7" s="246" t="s">
        <v>624</v>
      </c>
      <c r="E7" s="82"/>
      <c r="F7" s="82"/>
      <c r="G7" s="82"/>
      <c r="H7" s="82"/>
      <c r="I7" s="82"/>
    </row>
    <row r="8" spans="1:10" s="56" customFormat="1" ht="13">
      <c r="A8" s="60" t="s">
        <v>11</v>
      </c>
      <c r="B8" s="61">
        <v>1648</v>
      </c>
      <c r="C8" s="85">
        <v>1552</v>
      </c>
      <c r="D8" s="245">
        <v>0.75</v>
      </c>
    </row>
    <row r="9" spans="1:10" s="56" customFormat="1" ht="13">
      <c r="A9" s="60" t="s">
        <v>29</v>
      </c>
      <c r="B9" s="61">
        <v>292</v>
      </c>
      <c r="C9" s="85">
        <v>235</v>
      </c>
      <c r="D9" s="245">
        <v>0.75</v>
      </c>
    </row>
    <row r="10" spans="1:10" s="56" customFormat="1" ht="13">
      <c r="A10" s="60" t="s">
        <v>441</v>
      </c>
      <c r="B10" s="85">
        <v>20</v>
      </c>
      <c r="C10" s="85">
        <v>23</v>
      </c>
      <c r="D10" s="62"/>
    </row>
    <row r="11" spans="1:10" s="56" customFormat="1" ht="13">
      <c r="A11" s="60" t="s">
        <v>30</v>
      </c>
      <c r="B11" s="61">
        <v>1180</v>
      </c>
      <c r="C11" s="85">
        <v>1093</v>
      </c>
      <c r="D11" s="62"/>
    </row>
    <row r="12" spans="1:10" s="56" customFormat="1" ht="13">
      <c r="A12" s="60" t="s">
        <v>31</v>
      </c>
      <c r="B12" s="61">
        <v>460.3</v>
      </c>
      <c r="C12" s="85">
        <v>550.29999999999995</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94</v>
      </c>
      <c r="C15" s="85">
        <v>128</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48</v>
      </c>
      <c r="C18" s="358"/>
      <c r="D18" s="62"/>
    </row>
    <row r="19" spans="1:11" s="56" customFormat="1" ht="14" thickBot="1">
      <c r="A19" s="60" t="s">
        <v>32</v>
      </c>
      <c r="B19" s="158">
        <v>1583.4</v>
      </c>
      <c r="C19" s="62"/>
    </row>
    <row r="20" spans="1:11" s="56" customFormat="1" ht="13">
      <c r="A20" s="60" t="s">
        <v>33</v>
      </c>
      <c r="B20" s="61">
        <v>1.93</v>
      </c>
      <c r="C20" s="62"/>
      <c r="E20" s="86" t="s">
        <v>245</v>
      </c>
      <c r="F20" s="54"/>
      <c r="G20" s="54"/>
      <c r="H20" s="54"/>
      <c r="I20" s="54"/>
      <c r="J20" s="54"/>
      <c r="K20" s="55"/>
    </row>
    <row r="21" spans="1:11" s="56" customFormat="1" ht="13">
      <c r="A21" s="63" t="s">
        <v>106</v>
      </c>
      <c r="B21" s="64">
        <v>0.21</v>
      </c>
      <c r="C21" s="62"/>
      <c r="E21" s="207" t="s">
        <v>432</v>
      </c>
      <c r="F21" s="82"/>
      <c r="G21" s="82"/>
      <c r="H21" s="82"/>
      <c r="I21" s="82"/>
      <c r="J21" s="82"/>
      <c r="K21" s="88"/>
    </row>
    <row r="22" spans="1:11" s="56" customFormat="1" ht="13">
      <c r="A22" s="63" t="s">
        <v>107</v>
      </c>
      <c r="B22" s="64">
        <v>0.22</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8.3313080925341287E-2</v>
      </c>
      <c r="J23" s="259">
        <f>VLOOKUP(B6,'Industry Average Beta (US)'!A2:S95,3)</f>
        <v>0.7066988333333335</v>
      </c>
      <c r="K23" s="260">
        <f>VLOOKUP(B7,'Industry Average Beta (Global)'!A2:N95,3)</f>
        <v>0.16788050903119886</v>
      </c>
    </row>
    <row r="24" spans="1:11" s="56" customFormat="1" ht="13">
      <c r="A24" s="60" t="s">
        <v>49</v>
      </c>
      <c r="B24" s="67">
        <v>0.08</v>
      </c>
      <c r="C24" s="62" t="s">
        <v>611</v>
      </c>
      <c r="E24" s="87" t="s">
        <v>177</v>
      </c>
      <c r="F24" s="82"/>
      <c r="G24" s="82"/>
      <c r="H24" s="82"/>
      <c r="I24" s="259">
        <f>'Valuation output'!B4</f>
        <v>0.1915453074433657</v>
      </c>
      <c r="J24" s="260">
        <f>VLOOKUP(B6,'Industry Average Beta (US)'!A2:S95,4)</f>
        <v>0.23303355862606615</v>
      </c>
      <c r="K24" s="260">
        <f>VLOOKUP(B7,'Industry Average Beta (Global)'!A2:N95,4)</f>
        <v>0.18568549731413431</v>
      </c>
    </row>
    <row r="25" spans="1:11" s="56" customFormat="1" ht="13">
      <c r="A25" s="60" t="s">
        <v>51</v>
      </c>
      <c r="B25" s="67">
        <v>0.15</v>
      </c>
      <c r="C25" s="62" t="s">
        <v>609</v>
      </c>
      <c r="E25" s="87" t="s">
        <v>178</v>
      </c>
      <c r="F25" s="82"/>
      <c r="G25" s="82"/>
      <c r="H25" s="82"/>
      <c r="I25" s="261">
        <f>B8/'Valuation output'!B39</f>
        <v>1.0393323382875403</v>
      </c>
      <c r="J25" s="261">
        <f>VLOOKUP(B6,'Industry Average Beta (US)'!A2:S95,14)</f>
        <v>0.70486114020112933</v>
      </c>
      <c r="K25" s="261">
        <f>VLOOKUP(B7,'Industry Average Beta (Global)'!A2:N95,14)</f>
        <v>0.71771995084171836</v>
      </c>
    </row>
    <row r="26" spans="1:11" s="56" customFormat="1" ht="13">
      <c r="A26" s="60" t="s">
        <v>685</v>
      </c>
      <c r="B26" s="68">
        <v>5</v>
      </c>
      <c r="C26" s="62" t="s">
        <v>686</v>
      </c>
      <c r="E26" s="87" t="s">
        <v>179</v>
      </c>
      <c r="F26" s="82"/>
      <c r="G26" s="82"/>
      <c r="H26" s="82"/>
      <c r="I26" s="260">
        <f>'Valuation output'!B7/'Valuation output'!B39</f>
        <v>0.15727259349576408</v>
      </c>
      <c r="J26" s="260">
        <f>VLOOKUP(B6,'Industry Average Beta (US)'!A2:S95,5)</f>
        <v>0.16791688065597959</v>
      </c>
      <c r="K26" s="260">
        <f>VLOOKUP(B7,'Industry Average Beta (Global)'!A2:N95,5)</f>
        <v>0.12130742894540185</v>
      </c>
    </row>
    <row r="27" spans="1:11" s="56" customFormat="1" ht="13">
      <c r="A27" s="60" t="s">
        <v>37</v>
      </c>
      <c r="B27" s="68">
        <f>I25</f>
        <v>1.0393323382875403</v>
      </c>
      <c r="C27" s="62" t="s">
        <v>610</v>
      </c>
      <c r="E27" s="87" t="s">
        <v>386</v>
      </c>
      <c r="F27" s="82"/>
      <c r="G27" s="82"/>
      <c r="H27" s="82"/>
      <c r="I27" s="168"/>
      <c r="J27" s="262">
        <f>VLOOKUP(B6,'Industry Average Beta (US)'!A2:S95,10)</f>
        <v>0.72446101025919885</v>
      </c>
      <c r="K27" s="260">
        <f>VLOOKUP(B6,'Industry Average Beta (Global)'!A2:Z95,10)</f>
        <v>0.46120352844263335</v>
      </c>
    </row>
    <row r="28" spans="1:11" s="56" customFormat="1" ht="14" thickBot="1">
      <c r="A28" s="65" t="s">
        <v>36</v>
      </c>
      <c r="B28" s="69"/>
      <c r="C28" s="62"/>
      <c r="E28" s="58" t="s">
        <v>385</v>
      </c>
      <c r="F28" s="59"/>
      <c r="G28" s="59"/>
      <c r="H28" s="59"/>
      <c r="I28" s="59"/>
      <c r="J28" s="263">
        <f>VLOOKUP(B6,'Industry Average Beta (US)'!A2:S95,13)</f>
        <v>0.10491226752445131</v>
      </c>
      <c r="K28" s="260">
        <f>VLOOKUP(B6,'Industry Average Beta (Global)'!A2:Z95,13)</f>
        <v>0.10980979298120247</v>
      </c>
    </row>
    <row r="29" spans="1:11" s="56" customFormat="1" ht="14" thickBot="1">
      <c r="A29" s="60" t="s">
        <v>27</v>
      </c>
      <c r="B29" s="67">
        <v>0.02</v>
      </c>
      <c r="C29" s="62"/>
    </row>
    <row r="30" spans="1:11" s="56" customFormat="1" ht="13">
      <c r="A30" s="60" t="s">
        <v>39</v>
      </c>
      <c r="B30" s="159">
        <f>'Cost of capital worksheet'!E50</f>
        <v>8.8757386354928872E-2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3061.1999331083216</v>
      </c>
    </row>
    <row r="32" spans="1:11" s="56" customFormat="1" ht="13">
      <c r="A32" s="63" t="s">
        <v>248</v>
      </c>
      <c r="B32" s="159" t="s">
        <v>53</v>
      </c>
      <c r="C32"/>
      <c r="D32" s="62"/>
      <c r="E32" s="247" t="s">
        <v>615</v>
      </c>
      <c r="F32" s="63"/>
      <c r="G32" s="63"/>
      <c r="H32" s="63"/>
      <c r="I32" s="63"/>
      <c r="J32" s="258">
        <f>'Valuation output'!M5</f>
        <v>459.17998996624823</v>
      </c>
    </row>
    <row r="33" spans="1:14" s="56" customFormat="1" ht="13">
      <c r="A33" s="63" t="s">
        <v>92</v>
      </c>
      <c r="B33" s="68">
        <v>39.9</v>
      </c>
      <c r="C33" s="257"/>
      <c r="D33" s="62"/>
      <c r="E33" s="247" t="s">
        <v>614</v>
      </c>
      <c r="F33" s="63"/>
      <c r="G33" s="63"/>
      <c r="H33" s="63"/>
      <c r="I33" s="63"/>
      <c r="J33" s="259">
        <f>'Valuation output'!L40</f>
        <v>0.1216018835796422</v>
      </c>
    </row>
    <row r="34" spans="1:14" s="56" customFormat="1" ht="14" thickBot="1">
      <c r="A34" s="63" t="s">
        <v>93</v>
      </c>
      <c r="B34" s="71">
        <v>42.76</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D19" sqref="D19"/>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0.08</v>
      </c>
      <c r="D2" s="90">
        <f>C2</f>
        <v>0.08</v>
      </c>
      <c r="E2" s="90">
        <f>D2</f>
        <v>0.08</v>
      </c>
      <c r="F2" s="90">
        <f>E2</f>
        <v>0.08</v>
      </c>
      <c r="G2" s="90">
        <f>F2</f>
        <v>0.08</v>
      </c>
      <c r="H2" s="90">
        <f>G2-((G2-$M$2)/5)</f>
        <v>6.8000000000000005E-2</v>
      </c>
      <c r="I2" s="90">
        <f>G2-((G2-$M$2)/5)*2</f>
        <v>5.6000000000000001E-2</v>
      </c>
      <c r="J2" s="90">
        <f>G2-((G2-$M$2)/5)*3</f>
        <v>4.3999999999999997E-2</v>
      </c>
      <c r="K2" s="90">
        <f>G2-((G2-$M$2)/5)*4</f>
        <v>3.2000000000000001E-2</v>
      </c>
      <c r="L2" s="90">
        <f>G2-((G2-$M$2)/5)*5</f>
        <v>2.0000000000000004E-2</v>
      </c>
      <c r="M2" s="91">
        <f>IF('Input sheet'!B56="Yes",'Input sheet'!B57,'Input sheet'!B29)</f>
        <v>0.02</v>
      </c>
    </row>
    <row r="3" spans="1:14" ht="15" customHeight="1">
      <c r="A3" s="45" t="s">
        <v>11</v>
      </c>
      <c r="B3" s="92">
        <f>'Input sheet'!B8</f>
        <v>1648</v>
      </c>
      <c r="C3" s="93">
        <f>B3*(1+C2)</f>
        <v>1779.8400000000001</v>
      </c>
      <c r="D3" s="93">
        <f t="shared" ref="D3:L3" si="0">C3*(1+D2)</f>
        <v>1922.2272000000003</v>
      </c>
      <c r="E3" s="93">
        <f t="shared" si="0"/>
        <v>2076.0053760000005</v>
      </c>
      <c r="F3" s="93">
        <f t="shared" si="0"/>
        <v>2242.0858060800006</v>
      </c>
      <c r="G3" s="93">
        <f t="shared" si="0"/>
        <v>2421.4526705664007</v>
      </c>
      <c r="H3" s="93">
        <f t="shared" si="0"/>
        <v>2586.111452164916</v>
      </c>
      <c r="I3" s="93">
        <f t="shared" si="0"/>
        <v>2730.9336934861517</v>
      </c>
      <c r="J3" s="93">
        <f t="shared" si="0"/>
        <v>2851.0947759995424</v>
      </c>
      <c r="K3" s="93">
        <f t="shared" si="0"/>
        <v>2942.3298088315278</v>
      </c>
      <c r="L3" s="93">
        <f t="shared" si="0"/>
        <v>3001.1764050081583</v>
      </c>
      <c r="M3" s="109">
        <f>L3*(1+M2)</f>
        <v>3061.1999331083216</v>
      </c>
    </row>
    <row r="4" spans="1:14" ht="15" customHeight="1">
      <c r="A4" s="45" t="s">
        <v>26</v>
      </c>
      <c r="B4" s="94">
        <f>B5/B3</f>
        <v>0.1915453074433657</v>
      </c>
      <c r="C4" s="90">
        <f>IF(C1&gt;'Input sheet'!$B$26,'Input sheet'!$B$25,'Input sheet'!$B$25-(('Input sheet'!$B$25-$B$4)/'Input sheet'!$B$26)*('Input sheet'!$B$26-C1))</f>
        <v>0.18323624595469257</v>
      </c>
      <c r="D4" s="90">
        <f>IF(D1&gt;'Input sheet'!$B$26,'Input sheet'!$B$25,'Input sheet'!$B$25-(('Input sheet'!$B$25-$B$4)/'Input sheet'!$B$26)*('Input sheet'!$B$26-D1))</f>
        <v>0.1749271844660194</v>
      </c>
      <c r="E4" s="90">
        <f>IF(E1&gt;'Input sheet'!$B$26,'Input sheet'!$B$25,'Input sheet'!$B$25-(('Input sheet'!$B$25-$B$4)/'Input sheet'!$B$26)*('Input sheet'!$B$26-E1))</f>
        <v>0.16661812297734627</v>
      </c>
      <c r="F4" s="90">
        <f>IF(F1&gt;'Input sheet'!$B$26,'Input sheet'!$B$25,'Input sheet'!$B$25-(('Input sheet'!$B$25-$B$4)/'Input sheet'!$B$26)*('Input sheet'!$B$26-F1))</f>
        <v>0.15830906148867313</v>
      </c>
      <c r="G4" s="90">
        <f>IF(G1&gt;'Input sheet'!$B$26,'Input sheet'!$B$25,'Input sheet'!$B$25-(('Input sheet'!$B$25-$B$4)/'Input sheet'!$B$26)*('Input sheet'!$B$26-G1))</f>
        <v>0.15</v>
      </c>
      <c r="H4" s="90">
        <f>IF(H1&gt;'Input sheet'!$B$26,'Input sheet'!$B$25,'Input sheet'!$B$25-(('Input sheet'!$B$25-$B$4)/'Input sheet'!$B$26)*('Input sheet'!$B$26-H1))</f>
        <v>0.15</v>
      </c>
      <c r="I4" s="90">
        <f>IF(I1&gt;'Input sheet'!$B$26,'Input sheet'!$B$25,'Input sheet'!$B$25-(('Input sheet'!$B$25-$B$4)/'Input sheet'!$B$26)*('Input sheet'!$B$26-I1))</f>
        <v>0.15</v>
      </c>
      <c r="J4" s="90">
        <f>IF(J1&gt;'Input sheet'!$B$26,'Input sheet'!$B$25,'Input sheet'!$B$25-(('Input sheet'!$B$25-$B$4)/'Input sheet'!$B$26)*('Input sheet'!$B$26-J1))</f>
        <v>0.15</v>
      </c>
      <c r="K4" s="90">
        <f>IF(K1&gt;'Input sheet'!$B$26,'Input sheet'!$B$25,'Input sheet'!$B$25-(('Input sheet'!$B$25-$B$4)/'Input sheet'!$B$26)*('Input sheet'!$B$26-K1))</f>
        <v>0.15</v>
      </c>
      <c r="L4" s="90">
        <f>IF(L1&gt;'Input sheet'!$B$26,'Input sheet'!$B$25,'Input sheet'!$B$25-(('Input sheet'!$B$25-$B$4)/'Input sheet'!$B$26)*('Input sheet'!$B$26-L1))</f>
        <v>0.15</v>
      </c>
      <c r="M4" s="91">
        <f>L4</f>
        <v>0.15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315.66666666666669</v>
      </c>
      <c r="C5" s="93">
        <f t="shared" ref="C5:M5" si="1">C4*C3</f>
        <v>326.13120000000004</v>
      </c>
      <c r="D5" s="93">
        <f t="shared" si="1"/>
        <v>336.24979200000001</v>
      </c>
      <c r="E5" s="93">
        <f t="shared" si="1"/>
        <v>345.90011904000005</v>
      </c>
      <c r="F5" s="93">
        <f t="shared" si="1"/>
        <v>354.94249973760009</v>
      </c>
      <c r="G5" s="93">
        <f t="shared" si="1"/>
        <v>363.21790058496009</v>
      </c>
      <c r="H5" s="93">
        <f t="shared" si="1"/>
        <v>387.91671782473742</v>
      </c>
      <c r="I5" s="93">
        <f t="shared" si="1"/>
        <v>409.64005402292275</v>
      </c>
      <c r="J5" s="93">
        <f t="shared" si="1"/>
        <v>427.66421639993138</v>
      </c>
      <c r="K5" s="93">
        <f t="shared" si="1"/>
        <v>441.34947132472917</v>
      </c>
      <c r="L5" s="93">
        <f t="shared" si="1"/>
        <v>450.17646075122371</v>
      </c>
      <c r="M5" s="109">
        <f t="shared" si="1"/>
        <v>459.17998996624823</v>
      </c>
      <c r="N5" s="111">
        <f>M5-B5</f>
        <v>143.51332329958154</v>
      </c>
    </row>
    <row r="6" spans="1:14" ht="15" customHeight="1">
      <c r="A6" s="45" t="s">
        <v>142</v>
      </c>
      <c r="B6" s="95">
        <f>'Input sheet'!B21</f>
        <v>0.21</v>
      </c>
      <c r="C6" s="96">
        <f>B6</f>
        <v>0.21</v>
      </c>
      <c r="D6" s="96">
        <f>C6</f>
        <v>0.21</v>
      </c>
      <c r="E6" s="96">
        <f>D6</f>
        <v>0.21</v>
      </c>
      <c r="F6" s="96">
        <f>E6</f>
        <v>0.21</v>
      </c>
      <c r="G6" s="96">
        <f>F6</f>
        <v>0.21</v>
      </c>
      <c r="H6" s="96">
        <f>G6+($M$6-$G$6)/5</f>
        <v>0.21199999999999999</v>
      </c>
      <c r="I6" s="96">
        <f>H6+($M$6-$G$6)/5</f>
        <v>0.214</v>
      </c>
      <c r="J6" s="96">
        <f>I6+($M$6-$G$6)/5</f>
        <v>0.216</v>
      </c>
      <c r="K6" s="96">
        <f>J6+($M$6-$G$6)/5</f>
        <v>0.218</v>
      </c>
      <c r="L6" s="96">
        <f>K6+($M$6-$G$6)/5</f>
        <v>0.22</v>
      </c>
      <c r="M6" s="96">
        <f>IF('Input sheet'!B51="Yes",'Input sheet'!B21,'Input sheet'!B22)</f>
        <v>0.22</v>
      </c>
    </row>
    <row r="7" spans="1:14" ht="15" customHeight="1">
      <c r="A7" s="45" t="s">
        <v>12</v>
      </c>
      <c r="B7" s="92">
        <f>IF(B5&gt;0,B5*(1-B6),B5)</f>
        <v>249.37666666666669</v>
      </c>
      <c r="C7" s="93">
        <f>IF(C5&gt;0,IF(C5&lt;B10,C5,C5-(C5-B10)*C6),C5)</f>
        <v>257.64364800000004</v>
      </c>
      <c r="D7" s="93">
        <f t="shared" ref="D7:L7" si="2">IF(D5&gt;0,IF(D5&lt;C10,D5,D5-(D5-C10)*D6),D5)</f>
        <v>265.63733567999998</v>
      </c>
      <c r="E7" s="93">
        <f t="shared" si="2"/>
        <v>273.26109404160002</v>
      </c>
      <c r="F7" s="93">
        <f t="shared" si="2"/>
        <v>280.40457479270407</v>
      </c>
      <c r="G7" s="93">
        <f t="shared" si="2"/>
        <v>286.94214146211846</v>
      </c>
      <c r="H7" s="93">
        <f t="shared" si="2"/>
        <v>305.67837364589309</v>
      </c>
      <c r="I7" s="93">
        <f t="shared" si="2"/>
        <v>321.97708246201728</v>
      </c>
      <c r="J7" s="93">
        <f t="shared" si="2"/>
        <v>335.2887456575462</v>
      </c>
      <c r="K7" s="93">
        <f t="shared" si="2"/>
        <v>345.13528657593821</v>
      </c>
      <c r="L7" s="93">
        <f t="shared" si="2"/>
        <v>351.13763938595451</v>
      </c>
      <c r="M7" s="93">
        <f>M5*(1-M6)</f>
        <v>358.16039217367364</v>
      </c>
    </row>
    <row r="8" spans="1:14" ht="15" customHeight="1">
      <c r="A8" s="45" t="s">
        <v>15</v>
      </c>
      <c r="B8" s="92"/>
      <c r="C8" s="93">
        <f t="shared" ref="C8:L8" si="3">(C3-B3)/C38</f>
        <v>126.85066666666678</v>
      </c>
      <c r="D8" s="93">
        <f t="shared" si="3"/>
        <v>136.99872000000011</v>
      </c>
      <c r="E8" s="93">
        <f t="shared" si="3"/>
        <v>147.95861760000022</v>
      </c>
      <c r="F8" s="93">
        <f t="shared" si="3"/>
        <v>159.79530700800001</v>
      </c>
      <c r="G8" s="93">
        <f t="shared" si="3"/>
        <v>172.57893156864009</v>
      </c>
      <c r="H8" s="93">
        <f t="shared" si="3"/>
        <v>158.42745918001165</v>
      </c>
      <c r="I8" s="93">
        <f t="shared" si="3"/>
        <v>139.34160997997284</v>
      </c>
      <c r="J8" s="93">
        <f t="shared" si="3"/>
        <v>115.61372439481156</v>
      </c>
      <c r="K8" s="93">
        <f t="shared" si="3"/>
        <v>87.782347831405943</v>
      </c>
      <c r="L8" s="93">
        <f t="shared" si="3"/>
        <v>56.61961435125685</v>
      </c>
      <c r="M8" s="97">
        <f>IF(M2&gt;0,(M2/M40)*M7,0)</f>
        <v>110.20319759189962</v>
      </c>
      <c r="N8" s="111">
        <f>SUM(C8:M8)</f>
        <v>1412.1701961726656</v>
      </c>
    </row>
    <row r="9" spans="1:14" ht="15" customHeight="1">
      <c r="A9" s="45" t="s">
        <v>16</v>
      </c>
      <c r="B9" s="92"/>
      <c r="C9" s="93">
        <f t="shared" ref="C9:L9" si="4">C7-C8</f>
        <v>130.79298133333327</v>
      </c>
      <c r="D9" s="93">
        <f t="shared" si="4"/>
        <v>128.63861567999987</v>
      </c>
      <c r="E9" s="93">
        <f t="shared" si="4"/>
        <v>125.30247644159979</v>
      </c>
      <c r="F9" s="93">
        <f t="shared" si="4"/>
        <v>120.60926778470406</v>
      </c>
      <c r="G9" s="93">
        <f t="shared" si="4"/>
        <v>114.36320989347837</v>
      </c>
      <c r="H9" s="93">
        <f t="shared" si="4"/>
        <v>147.25091446588144</v>
      </c>
      <c r="I9" s="93">
        <f t="shared" si="4"/>
        <v>182.63547248204443</v>
      </c>
      <c r="J9" s="93">
        <f t="shared" si="4"/>
        <v>219.67502126273465</v>
      </c>
      <c r="K9" s="93">
        <f t="shared" si="4"/>
        <v>257.35293874453225</v>
      </c>
      <c r="L9" s="93">
        <f t="shared" si="4"/>
        <v>294.51802503469764</v>
      </c>
      <c r="M9" s="97">
        <f>M7-M8</f>
        <v>247.95719458177402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8.8757386354928872E-2</v>
      </c>
      <c r="D12" s="90">
        <f>C12</f>
        <v>8.8757386354928872E-2</v>
      </c>
      <c r="E12" s="90">
        <f>D12</f>
        <v>8.8757386354928872E-2</v>
      </c>
      <c r="F12" s="90">
        <f>E12</f>
        <v>8.8757386354928872E-2</v>
      </c>
      <c r="G12" s="90">
        <f>F12</f>
        <v>8.8757386354928872E-2</v>
      </c>
      <c r="H12" s="90">
        <f>G12-($G$12-$M$12)/5</f>
        <v>8.4005909083943092E-2</v>
      </c>
      <c r="I12" s="90">
        <f>H12-($G$12-$M$12)/5</f>
        <v>7.9254431812957313E-2</v>
      </c>
      <c r="J12" s="90">
        <f>I12-($G$12-$M$12)/5</f>
        <v>7.4502954541971533E-2</v>
      </c>
      <c r="K12" s="90">
        <f>J12-($G$12-$M$12)/5</f>
        <v>6.9751477270985754E-2</v>
      </c>
      <c r="L12" s="90">
        <f>K12-($G$12-$M$12)/5</f>
        <v>6.4999999999999974E-2</v>
      </c>
      <c r="M12" s="91">
        <f>IF('Input sheet'!B40="Yes",'Input sheet'!B41,'Input sheet'!B29+0.045)</f>
        <v>6.5000000000000002E-2</v>
      </c>
    </row>
    <row r="13" spans="1:14" ht="15" customHeight="1">
      <c r="A13" s="46" t="s">
        <v>149</v>
      </c>
      <c r="B13" s="89"/>
      <c r="C13" s="153">
        <f>1/(1+C12)</f>
        <v>0.918478269385541</v>
      </c>
      <c r="D13" s="153">
        <f>C13*(1/(1+D12))</f>
        <v>0.84360233133345841</v>
      </c>
      <c r="E13" s="153">
        <f t="shared" ref="E13:L13" si="6">D13*(1/(1+E12))</f>
        <v>0.77483040933276259</v>
      </c>
      <c r="F13" s="153">
        <f t="shared" si="6"/>
        <v>0.71166489343124617</v>
      </c>
      <c r="G13" s="153">
        <f t="shared" si="6"/>
        <v>0.65364873970117643</v>
      </c>
      <c r="H13" s="153">
        <f t="shared" si="6"/>
        <v>0.60299370531434926</v>
      </c>
      <c r="I13" s="153">
        <f t="shared" si="6"/>
        <v>0.55871320750698794</v>
      </c>
      <c r="J13" s="153">
        <f t="shared" si="6"/>
        <v>0.51997363538674557</v>
      </c>
      <c r="K13" s="153">
        <f t="shared" si="6"/>
        <v>0.48606956516034583</v>
      </c>
      <c r="L13" s="153">
        <f t="shared" si="6"/>
        <v>0.45640334756839984</v>
      </c>
      <c r="M13" s="98"/>
    </row>
    <row r="14" spans="1:14" ht="15" customHeight="1">
      <c r="A14" s="46" t="s">
        <v>21</v>
      </c>
      <c r="B14" s="89"/>
      <c r="C14" s="93">
        <f t="shared" ref="C14:L14" si="7">C9*C13</f>
        <v>120.13051114281531</v>
      </c>
      <c r="D14" s="93">
        <f t="shared" si="7"/>
        <v>108.51983608715668</v>
      </c>
      <c r="E14" s="93">
        <f t="shared" si="7"/>
        <v>97.088169111653613</v>
      </c>
      <c r="F14" s="93">
        <f t="shared" si="7"/>
        <v>85.833381704822045</v>
      </c>
      <c r="G14" s="93">
        <f t="shared" si="7"/>
        <v>74.753368015053255</v>
      </c>
      <c r="H14" s="93">
        <f t="shared" si="7"/>
        <v>88.791374524708161</v>
      </c>
      <c r="I14" s="93">
        <f t="shared" si="7"/>
        <v>102.04085063499728</v>
      </c>
      <c r="J14" s="93">
        <f t="shared" si="7"/>
        <v>114.22521940964477</v>
      </c>
      <c r="K14" s="93">
        <f t="shared" si="7"/>
        <v>125.09143102829191</v>
      </c>
      <c r="L14" s="93">
        <f t="shared" si="7"/>
        <v>134.41901254506979</v>
      </c>
      <c r="M14" s="98"/>
    </row>
    <row r="15" spans="1:14" ht="15" customHeight="1">
      <c r="A15" s="46"/>
      <c r="B15" s="45"/>
      <c r="C15" s="51"/>
      <c r="D15" s="51"/>
      <c r="E15" s="51"/>
      <c r="F15" s="51"/>
      <c r="G15" s="51"/>
      <c r="H15" s="51"/>
      <c r="I15" s="51"/>
      <c r="J15" s="51"/>
      <c r="K15" s="51"/>
      <c r="L15" s="51"/>
    </row>
    <row r="16" spans="1:14" ht="15" customHeight="1">
      <c r="A16" s="48" t="s">
        <v>22</v>
      </c>
      <c r="B16" s="92">
        <f>M9</f>
        <v>247.95719458177402</v>
      </c>
      <c r="C16" s="51"/>
      <c r="D16" s="51"/>
      <c r="E16" s="51"/>
      <c r="F16" s="51"/>
      <c r="G16" s="51"/>
      <c r="H16" s="51"/>
      <c r="I16" s="51"/>
      <c r="J16" s="51"/>
      <c r="K16" s="51"/>
      <c r="L16" s="51"/>
    </row>
    <row r="17" spans="1:12" ht="15" customHeight="1">
      <c r="A17" s="48" t="s">
        <v>144</v>
      </c>
      <c r="B17" s="94">
        <f>M12</f>
        <v>6.5000000000000002E-2</v>
      </c>
      <c r="C17" s="51"/>
      <c r="D17" s="51"/>
      <c r="E17" s="51"/>
      <c r="F17" s="51"/>
      <c r="G17" s="51"/>
      <c r="H17" s="51"/>
      <c r="I17" s="51"/>
      <c r="J17" s="51"/>
      <c r="K17" s="51"/>
      <c r="L17" s="51"/>
    </row>
    <row r="18" spans="1:12">
      <c r="A18" s="48" t="s">
        <v>23</v>
      </c>
      <c r="B18" s="92">
        <f>B16/(B17-M2)</f>
        <v>5510.1598795949785</v>
      </c>
      <c r="C18" s="51"/>
      <c r="D18" s="154"/>
      <c r="E18" s="51"/>
      <c r="F18" s="51"/>
      <c r="G18" s="51"/>
      <c r="H18" s="51"/>
      <c r="I18" s="51"/>
      <c r="J18" s="51"/>
      <c r="K18" s="51"/>
      <c r="L18" s="51"/>
    </row>
    <row r="19" spans="1:12">
      <c r="A19" s="48" t="s">
        <v>24</v>
      </c>
      <c r="B19" s="99">
        <f>B18*L13</f>
        <v>2514.8554146842393</v>
      </c>
      <c r="C19" s="51"/>
      <c r="D19" s="51"/>
      <c r="E19" s="51"/>
      <c r="F19" s="51"/>
      <c r="G19" s="51"/>
      <c r="H19" s="51"/>
      <c r="I19" s="51"/>
      <c r="J19" s="51"/>
      <c r="K19" s="51"/>
      <c r="L19" s="51"/>
    </row>
    <row r="20" spans="1:12">
      <c r="A20" s="48" t="s">
        <v>46</v>
      </c>
      <c r="B20" s="99">
        <f>SUM(C14:L14)</f>
        <v>1050.8931542042128</v>
      </c>
      <c r="C20" s="51"/>
      <c r="D20" s="51"/>
      <c r="E20" s="51"/>
      <c r="F20" s="51"/>
      <c r="G20" s="51"/>
      <c r="H20" s="51"/>
      <c r="I20" s="51"/>
      <c r="J20" s="51"/>
      <c r="K20" s="51"/>
      <c r="L20" s="51"/>
    </row>
    <row r="21" spans="1:12">
      <c r="A21" s="48" t="s">
        <v>47</v>
      </c>
      <c r="B21" s="99">
        <f>B19+B20</f>
        <v>3565.7485688884522</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1782.8742844442261</v>
      </c>
      <c r="C23" s="51"/>
      <c r="D23" s="51"/>
      <c r="E23" s="51"/>
      <c r="F23" s="51"/>
      <c r="G23" s="51"/>
      <c r="H23" s="51"/>
      <c r="I23" s="51"/>
      <c r="J23" s="51"/>
      <c r="K23" s="51"/>
      <c r="L23" s="51"/>
    </row>
    <row r="24" spans="1:12">
      <c r="A24" s="48" t="s">
        <v>44</v>
      </c>
      <c r="B24" s="92">
        <f>B21*(1-B22)+B23*B22</f>
        <v>3565.7485688884522</v>
      </c>
      <c r="C24" s="51"/>
      <c r="D24" s="51"/>
      <c r="E24" s="51"/>
      <c r="F24" s="51"/>
      <c r="G24" s="51"/>
      <c r="H24" s="51"/>
      <c r="I24" s="51"/>
      <c r="J24" s="51"/>
      <c r="K24" s="51"/>
      <c r="L24" s="51"/>
    </row>
    <row r="25" spans="1:12">
      <c r="A25" s="48" t="s">
        <v>392</v>
      </c>
      <c r="B25" s="92">
        <f>IF('Input sheet'!B14="Yes",'Input sheet'!B12+'Operating lease converter'!C28,'Input sheet'!B12)+'Input sheet'!B18</f>
        <v>508.3</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94</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3151.448568888452</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3151.448568888452</v>
      </c>
      <c r="C31" s="51"/>
      <c r="D31" s="51"/>
      <c r="E31" s="51"/>
      <c r="F31" s="51"/>
      <c r="G31" s="51"/>
      <c r="H31" s="51"/>
      <c r="I31" s="51"/>
      <c r="J31" s="51"/>
      <c r="K31" s="51"/>
      <c r="L31" s="51"/>
    </row>
    <row r="32" spans="1:12">
      <c r="A32" s="48" t="s">
        <v>13</v>
      </c>
      <c r="B32" s="103">
        <f>'Input sheet'!B19</f>
        <v>1583.4</v>
      </c>
      <c r="C32" s="51"/>
      <c r="D32" s="51"/>
      <c r="E32" s="51"/>
      <c r="F32" s="51"/>
      <c r="G32" s="51"/>
      <c r="H32" s="51"/>
      <c r="I32" s="51"/>
      <c r="J32" s="51"/>
      <c r="K32" s="51"/>
      <c r="L32" s="51"/>
    </row>
    <row r="33" spans="1:13">
      <c r="A33" s="48" t="s">
        <v>96</v>
      </c>
      <c r="B33" s="104">
        <f>B31/B32</f>
        <v>1.9903047675182846</v>
      </c>
      <c r="C33" s="51"/>
      <c r="D33" s="51"/>
      <c r="E33" s="51"/>
      <c r="F33" s="51"/>
      <c r="G33" s="51"/>
      <c r="H33" s="51"/>
      <c r="I33" s="51"/>
      <c r="J33" s="51"/>
      <c r="K33" s="51"/>
      <c r="L33" s="51"/>
    </row>
    <row r="34" spans="1:13">
      <c r="A34" s="48" t="s">
        <v>103</v>
      </c>
      <c r="B34" s="105">
        <f>'Input sheet'!B20</f>
        <v>1.93</v>
      </c>
      <c r="C34" s="51"/>
      <c r="D34" s="51"/>
      <c r="E34" s="51"/>
      <c r="F34" s="51"/>
      <c r="G34" s="51"/>
      <c r="H34" s="51"/>
      <c r="I34" s="51"/>
      <c r="J34" s="51"/>
      <c r="K34" s="51"/>
      <c r="L34" s="51"/>
    </row>
    <row r="35" spans="1:13">
      <c r="A35" s="48" t="s">
        <v>52</v>
      </c>
      <c r="B35" s="95">
        <f>B34/B33</f>
        <v>0.96970073704165483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1.0393323382875403</v>
      </c>
      <c r="D38" s="106">
        <f>C38</f>
        <v>1.0393323382875403</v>
      </c>
      <c r="E38" s="106">
        <f t="shared" ref="E38:L38" si="8">D38</f>
        <v>1.0393323382875403</v>
      </c>
      <c r="F38" s="106">
        <f t="shared" si="8"/>
        <v>1.0393323382875403</v>
      </c>
      <c r="G38" s="106">
        <f t="shared" si="8"/>
        <v>1.0393323382875403</v>
      </c>
      <c r="H38" s="106">
        <f t="shared" si="8"/>
        <v>1.0393323382875403</v>
      </c>
      <c r="I38" s="106">
        <f t="shared" si="8"/>
        <v>1.0393323382875403</v>
      </c>
      <c r="J38" s="106">
        <f t="shared" si="8"/>
        <v>1.0393323382875403</v>
      </c>
      <c r="K38" s="106">
        <f t="shared" si="8"/>
        <v>1.0393323382875403</v>
      </c>
      <c r="L38" s="106">
        <f t="shared" si="8"/>
        <v>1.0393323382875403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1585.6333333333332</v>
      </c>
      <c r="C39" s="108">
        <f t="shared" ref="C39:L39" si="9">B39+C8</f>
        <v>1712.4839999999999</v>
      </c>
      <c r="D39" s="108">
        <f t="shared" si="9"/>
        <v>1849.48272</v>
      </c>
      <c r="E39" s="108">
        <f t="shared" si="9"/>
        <v>1997.4413376000002</v>
      </c>
      <c r="F39" s="108">
        <f t="shared" si="9"/>
        <v>2157.2366446080005</v>
      </c>
      <c r="G39" s="108">
        <f t="shared" si="9"/>
        <v>2329.8155761766407</v>
      </c>
      <c r="H39" s="108">
        <f t="shared" si="9"/>
        <v>2488.2430353566524</v>
      </c>
      <c r="I39" s="108">
        <f t="shared" si="9"/>
        <v>2627.5846453366253</v>
      </c>
      <c r="J39" s="108">
        <f t="shared" si="9"/>
        <v>2743.1983697314367</v>
      </c>
      <c r="K39" s="108">
        <f t="shared" si="9"/>
        <v>2830.9807175628425</v>
      </c>
      <c r="L39" s="108">
        <f t="shared" si="9"/>
        <v>2887.6003319140996</v>
      </c>
      <c r="M39" s="98"/>
    </row>
    <row r="40" spans="1:13">
      <c r="A40" s="44" t="s">
        <v>19</v>
      </c>
      <c r="B40" s="94">
        <f t="shared" ref="B40:L40" si="10">B7/B39</f>
        <v>0.15727259349576408</v>
      </c>
      <c r="C40" s="90">
        <f t="shared" si="10"/>
        <v>0.15045025121402597</v>
      </c>
      <c r="D40" s="90">
        <f t="shared" si="10"/>
        <v>0.14362790893228783</v>
      </c>
      <c r="E40" s="90">
        <f t="shared" si="10"/>
        <v>0.13680556665054971</v>
      </c>
      <c r="F40" s="90">
        <f t="shared" si="10"/>
        <v>0.12998322436881163</v>
      </c>
      <c r="G40" s="90">
        <f t="shared" si="10"/>
        <v>0.1231608820870735</v>
      </c>
      <c r="H40" s="90">
        <f t="shared" si="10"/>
        <v>0.12284908238558725</v>
      </c>
      <c r="I40" s="90">
        <f t="shared" si="10"/>
        <v>0.12253728268410098</v>
      </c>
      <c r="J40" s="90">
        <f t="shared" si="10"/>
        <v>0.12222548298261474</v>
      </c>
      <c r="K40" s="90">
        <f t="shared" si="10"/>
        <v>0.12191368328112848</v>
      </c>
      <c r="L40" s="110">
        <f t="shared" si="10"/>
        <v>0.1216018835796422</v>
      </c>
      <c r="M40" s="90">
        <f>IF('Input sheet'!B43="Yes",'Input sheet'!B44,'Valuation output'!L12)</f>
        <v>6.4999999999999974E-2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JW Life Science</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1648</v>
      </c>
      <c r="C9" s="275">
        <f>'Input sheet'!B24</f>
        <v>0.08</v>
      </c>
      <c r="D9" s="275">
        <f>F9</f>
        <v>0.02</v>
      </c>
      <c r="E9" s="276"/>
      <c r="F9" s="275">
        <f>'Valuation output'!M2</f>
        <v>0.02</v>
      </c>
      <c r="G9" s="299" t="s">
        <v>757</v>
      </c>
      <c r="H9" s="391" t="s">
        <v>655</v>
      </c>
      <c r="I9" s="392"/>
      <c r="J9" s="392"/>
      <c r="K9" s="393"/>
    </row>
    <row r="10" spans="1:11">
      <c r="A10" s="273" t="s">
        <v>642</v>
      </c>
      <c r="B10" s="275">
        <f>'Valuation output'!B4</f>
        <v>0.1915453074433657</v>
      </c>
      <c r="C10" s="277">
        <f>B10</f>
        <v>0.1915453074433657</v>
      </c>
      <c r="D10" s="278">
        <f>F10</f>
        <v>0.15</v>
      </c>
      <c r="E10" s="278"/>
      <c r="F10" s="275">
        <f>'Valuation output'!M4</f>
        <v>0.15</v>
      </c>
      <c r="G10" s="304" t="s">
        <v>758</v>
      </c>
      <c r="H10" s="394"/>
      <c r="I10" s="395"/>
      <c r="J10" s="395"/>
      <c r="K10" s="396"/>
    </row>
    <row r="11" spans="1:11">
      <c r="A11" s="273" t="s">
        <v>142</v>
      </c>
      <c r="B11" s="275">
        <f>'Valuation output'!B6</f>
        <v>0.21</v>
      </c>
      <c r="C11" s="277">
        <f>B11</f>
        <v>0.21</v>
      </c>
      <c r="D11" s="278">
        <f>F11</f>
        <v>0.22</v>
      </c>
      <c r="E11" s="278"/>
      <c r="F11" s="275">
        <f>'Valuation output'!M6</f>
        <v>0.22</v>
      </c>
      <c r="G11" s="304" t="s">
        <v>759</v>
      </c>
      <c r="H11" s="394"/>
      <c r="I11" s="395"/>
      <c r="J11" s="395"/>
      <c r="K11" s="396"/>
    </row>
    <row r="12" spans="1:11">
      <c r="A12" s="273" t="s">
        <v>643</v>
      </c>
      <c r="B12" s="276"/>
      <c r="C12" s="279" t="s">
        <v>647</v>
      </c>
      <c r="D12" s="280">
        <f>'Input sheet'!B27</f>
        <v>1.0393323382875403</v>
      </c>
      <c r="E12" s="281" t="s">
        <v>659</v>
      </c>
      <c r="F12" s="282">
        <f>'Valuation output'!M2/'Valuation output'!M40</f>
        <v>0.30769230769230782</v>
      </c>
      <c r="G12" s="304" t="s">
        <v>760</v>
      </c>
      <c r="H12" s="394"/>
      <c r="I12" s="395"/>
      <c r="J12" s="395"/>
      <c r="K12" s="396"/>
    </row>
    <row r="13" spans="1:11">
      <c r="A13" s="306" t="s">
        <v>657</v>
      </c>
      <c r="B13" s="310">
        <f>'Valuation output'!B40</f>
        <v>0.15727259349576408</v>
      </c>
      <c r="C13" s="313" t="s">
        <v>658</v>
      </c>
      <c r="D13" s="314">
        <f>Diagnostics!B6</f>
        <v>0.10331275234409318</v>
      </c>
      <c r="E13" s="307"/>
      <c r="F13" s="308">
        <f>'Valuation output'!M40</f>
        <v>6.4999999999999974E-2</v>
      </c>
      <c r="G13" s="309" t="s">
        <v>761</v>
      </c>
      <c r="H13" s="394"/>
      <c r="I13" s="395"/>
      <c r="J13" s="395"/>
      <c r="K13" s="396"/>
    </row>
    <row r="14" spans="1:11" ht="17" thickBot="1">
      <c r="A14" s="283" t="s">
        <v>644</v>
      </c>
      <c r="B14" s="311"/>
      <c r="C14" s="277">
        <f>'Valuation output'!C12</f>
        <v>8.8757386354928872E-2</v>
      </c>
      <c r="D14" s="278">
        <f>F14</f>
        <v>6.5000000000000002E-2</v>
      </c>
      <c r="E14" s="312"/>
      <c r="F14" s="284">
        <f>'Valuation output'!M12</f>
        <v>6.5000000000000002E-2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1779.8400000000001</v>
      </c>
      <c r="C17" s="287">
        <f>'Valuation output'!C4</f>
        <v>0.18323624595469257</v>
      </c>
      <c r="D17" s="274">
        <f>B17*C17</f>
        <v>326.13120000000004</v>
      </c>
      <c r="E17" s="286">
        <f>'Valuation output'!C7</f>
        <v>257.64364800000004</v>
      </c>
      <c r="F17" s="286">
        <f>'Valuation output'!C8</f>
        <v>126.85066666666678</v>
      </c>
      <c r="G17" s="317">
        <f>E17-F17</f>
        <v>130.79298133333327</v>
      </c>
      <c r="H17" s="403"/>
      <c r="I17" s="404"/>
      <c r="J17" s="404"/>
      <c r="K17" s="405"/>
    </row>
    <row r="18" spans="1:11">
      <c r="A18" s="285">
        <v>2</v>
      </c>
      <c r="B18" s="286">
        <f>'Valuation output'!D3</f>
        <v>1922.2272000000003</v>
      </c>
      <c r="C18" s="287">
        <f>'Valuation output'!D4</f>
        <v>0.1749271844660194</v>
      </c>
      <c r="D18" s="274">
        <f t="shared" ref="D18:D27" si="0">B18*C18</f>
        <v>336.24979200000001</v>
      </c>
      <c r="E18" s="286">
        <f>'Valuation output'!D7</f>
        <v>265.63733567999998</v>
      </c>
      <c r="F18" s="286">
        <f>'Valuation output'!D8</f>
        <v>136.99872000000011</v>
      </c>
      <c r="G18" s="317">
        <f t="shared" ref="G18:G27" si="1">E18-F18</f>
        <v>128.63861567999987</v>
      </c>
      <c r="H18" s="403"/>
      <c r="I18" s="404"/>
      <c r="J18" s="404"/>
      <c r="K18" s="405"/>
    </row>
    <row r="19" spans="1:11">
      <c r="A19" s="285">
        <v>3</v>
      </c>
      <c r="B19" s="286">
        <f>'Valuation output'!E3</f>
        <v>2076.0053760000005</v>
      </c>
      <c r="C19" s="287">
        <f>'Valuation output'!E4</f>
        <v>0.16661812297734627</v>
      </c>
      <c r="D19" s="274">
        <f t="shared" si="0"/>
        <v>345.90011904000005</v>
      </c>
      <c r="E19" s="286">
        <f>'Valuation output'!E7</f>
        <v>273.26109404160002</v>
      </c>
      <c r="F19" s="286">
        <f>'Valuation output'!E8</f>
        <v>147.95861760000022</v>
      </c>
      <c r="G19" s="317">
        <f t="shared" si="1"/>
        <v>125.30247644159979</v>
      </c>
      <c r="H19" s="403"/>
      <c r="I19" s="404"/>
      <c r="J19" s="404"/>
      <c r="K19" s="405"/>
    </row>
    <row r="20" spans="1:11">
      <c r="A20" s="285">
        <v>4</v>
      </c>
      <c r="B20" s="286">
        <f>'Valuation output'!F3</f>
        <v>2242.0858060800006</v>
      </c>
      <c r="C20" s="287">
        <f>'Valuation output'!F4</f>
        <v>0.15830906148867313</v>
      </c>
      <c r="D20" s="274">
        <f t="shared" si="0"/>
        <v>354.94249973760009</v>
      </c>
      <c r="E20" s="286">
        <f>'Valuation output'!F7</f>
        <v>280.40457479270407</v>
      </c>
      <c r="F20" s="286">
        <f>'Valuation output'!F8</f>
        <v>159.79530700800001</v>
      </c>
      <c r="G20" s="317">
        <f t="shared" si="1"/>
        <v>120.60926778470406</v>
      </c>
      <c r="H20" s="403"/>
      <c r="I20" s="404"/>
      <c r="J20" s="404"/>
      <c r="K20" s="405"/>
    </row>
    <row r="21" spans="1:11">
      <c r="A21" s="285">
        <v>5</v>
      </c>
      <c r="B21" s="286">
        <f>'Valuation output'!G3</f>
        <v>2421.4526705664007</v>
      </c>
      <c r="C21" s="287">
        <f>'Valuation output'!G4</f>
        <v>0.15</v>
      </c>
      <c r="D21" s="274">
        <f t="shared" si="0"/>
        <v>363.21790058496009</v>
      </c>
      <c r="E21" s="286">
        <f>'Valuation output'!G7</f>
        <v>286.94214146211846</v>
      </c>
      <c r="F21" s="286">
        <f>'Valuation output'!G8</f>
        <v>172.57893156864009</v>
      </c>
      <c r="G21" s="317">
        <f t="shared" si="1"/>
        <v>114.36320989347837</v>
      </c>
      <c r="H21" s="403"/>
      <c r="I21" s="404"/>
      <c r="J21" s="404"/>
      <c r="K21" s="405"/>
    </row>
    <row r="22" spans="1:11">
      <c r="A22" s="285">
        <v>6</v>
      </c>
      <c r="B22" s="286">
        <f>'Valuation output'!H3</f>
        <v>2586.111452164916</v>
      </c>
      <c r="C22" s="287">
        <f>'Valuation output'!H4</f>
        <v>0.15</v>
      </c>
      <c r="D22" s="274">
        <f t="shared" si="0"/>
        <v>387.91671782473742</v>
      </c>
      <c r="E22" s="286">
        <f>'Valuation output'!H7</f>
        <v>305.67837364589309</v>
      </c>
      <c r="F22" s="286">
        <f>'Valuation output'!H8</f>
        <v>158.42745918001165</v>
      </c>
      <c r="G22" s="317">
        <f t="shared" si="1"/>
        <v>147.25091446588144</v>
      </c>
      <c r="H22" s="403"/>
      <c r="I22" s="404"/>
      <c r="J22" s="404"/>
      <c r="K22" s="405"/>
    </row>
    <row r="23" spans="1:11">
      <c r="A23" s="285">
        <v>7</v>
      </c>
      <c r="B23" s="286">
        <f>'Valuation output'!I3</f>
        <v>2730.9336934861517</v>
      </c>
      <c r="C23" s="287">
        <f>'Valuation output'!I4</f>
        <v>0.15</v>
      </c>
      <c r="D23" s="274">
        <f t="shared" si="0"/>
        <v>409.64005402292275</v>
      </c>
      <c r="E23" s="286">
        <f>'Valuation output'!I7</f>
        <v>321.97708246201728</v>
      </c>
      <c r="F23" s="286">
        <f>'Valuation output'!I8</f>
        <v>139.34160997997284</v>
      </c>
      <c r="G23" s="317">
        <f t="shared" si="1"/>
        <v>182.63547248204443</v>
      </c>
      <c r="H23" s="403"/>
      <c r="I23" s="404"/>
      <c r="J23" s="404"/>
      <c r="K23" s="405"/>
    </row>
    <row r="24" spans="1:11">
      <c r="A24" s="285">
        <v>8</v>
      </c>
      <c r="B24" s="286">
        <f>'Valuation output'!J3</f>
        <v>2851.0947759995424</v>
      </c>
      <c r="C24" s="287">
        <f>'Valuation output'!J4</f>
        <v>0.15</v>
      </c>
      <c r="D24" s="274">
        <f t="shared" si="0"/>
        <v>427.66421639993138</v>
      </c>
      <c r="E24" s="286">
        <f>'Valuation output'!J7</f>
        <v>335.2887456575462</v>
      </c>
      <c r="F24" s="286">
        <f>'Valuation output'!J8</f>
        <v>115.61372439481156</v>
      </c>
      <c r="G24" s="317">
        <f t="shared" si="1"/>
        <v>219.67502126273465</v>
      </c>
      <c r="H24" s="403"/>
      <c r="I24" s="404"/>
      <c r="J24" s="404"/>
      <c r="K24" s="405"/>
    </row>
    <row r="25" spans="1:11">
      <c r="A25" s="285">
        <v>9</v>
      </c>
      <c r="B25" s="286">
        <f>'Valuation output'!K3</f>
        <v>2942.3298088315278</v>
      </c>
      <c r="C25" s="287">
        <f>'Valuation output'!K4</f>
        <v>0.15</v>
      </c>
      <c r="D25" s="274">
        <f t="shared" si="0"/>
        <v>441.34947132472917</v>
      </c>
      <c r="E25" s="286">
        <f>'Valuation output'!K7</f>
        <v>345.13528657593821</v>
      </c>
      <c r="F25" s="286">
        <f>'Valuation output'!K8</f>
        <v>87.782347831405943</v>
      </c>
      <c r="G25" s="317">
        <f t="shared" si="1"/>
        <v>257.35293874453225</v>
      </c>
      <c r="H25" s="403"/>
      <c r="I25" s="404"/>
      <c r="J25" s="404"/>
      <c r="K25" s="405"/>
    </row>
    <row r="26" spans="1:11">
      <c r="A26" s="285">
        <v>10</v>
      </c>
      <c r="B26" s="286">
        <f>'Valuation output'!L3</f>
        <v>3001.1764050081583</v>
      </c>
      <c r="C26" s="287">
        <f>'Valuation output'!L4</f>
        <v>0.15</v>
      </c>
      <c r="D26" s="274">
        <f t="shared" si="0"/>
        <v>450.17646075122371</v>
      </c>
      <c r="E26" s="286">
        <f>'Valuation output'!L7</f>
        <v>351.13763938595451</v>
      </c>
      <c r="F26" s="286">
        <f>'Valuation output'!L8</f>
        <v>56.61961435125685</v>
      </c>
      <c r="G26" s="317">
        <f t="shared" si="1"/>
        <v>294.51802503469764</v>
      </c>
      <c r="H26" s="403"/>
      <c r="I26" s="404"/>
      <c r="J26" s="404"/>
      <c r="K26" s="405"/>
    </row>
    <row r="27" spans="1:11" ht="17" thickBot="1">
      <c r="A27" s="288" t="s">
        <v>45</v>
      </c>
      <c r="B27" s="289">
        <f>'Valuation output'!M3</f>
        <v>3061.1999331083216</v>
      </c>
      <c r="C27" s="290">
        <f>'Valuation output'!M4</f>
        <v>0.15</v>
      </c>
      <c r="D27" s="274">
        <f t="shared" si="0"/>
        <v>459.17998996624823</v>
      </c>
      <c r="E27" s="289">
        <f>'Valuation output'!M7</f>
        <v>358.16039217367364</v>
      </c>
      <c r="F27" s="289">
        <f>'Valuation output'!M8</f>
        <v>110.20319759189962</v>
      </c>
      <c r="G27" s="317">
        <f t="shared" si="1"/>
        <v>247.95719458177402</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5510.1598795949785</v>
      </c>
      <c r="E29" s="292"/>
      <c r="F29" s="293"/>
      <c r="G29" s="294"/>
      <c r="H29" s="409" t="s">
        <v>660</v>
      </c>
      <c r="I29" s="410"/>
      <c r="J29" s="410"/>
      <c r="K29" s="410"/>
    </row>
    <row r="30" spans="1:11">
      <c r="A30" s="367" t="s">
        <v>639</v>
      </c>
      <c r="B30" s="368"/>
      <c r="C30" s="369"/>
      <c r="D30" s="295">
        <f>'Valuation output'!B19</f>
        <v>2514.8554146842393</v>
      </c>
      <c r="E30" s="296"/>
      <c r="F30" s="297"/>
      <c r="G30" s="298"/>
      <c r="H30" s="409"/>
      <c r="I30" s="410"/>
      <c r="J30" s="410"/>
      <c r="K30" s="410"/>
    </row>
    <row r="31" spans="1:11">
      <c r="A31" s="367" t="s">
        <v>46</v>
      </c>
      <c r="B31" s="368"/>
      <c r="C31" s="369"/>
      <c r="D31" s="295">
        <f>'Valuation output'!B20</f>
        <v>1050.8931542042128</v>
      </c>
      <c r="E31" s="296"/>
      <c r="F31" s="297"/>
      <c r="G31" s="298"/>
      <c r="H31" s="409"/>
      <c r="I31" s="410"/>
      <c r="J31" s="410"/>
      <c r="K31" s="410"/>
    </row>
    <row r="32" spans="1:11">
      <c r="A32" s="367" t="s">
        <v>44</v>
      </c>
      <c r="B32" s="368"/>
      <c r="C32" s="369"/>
      <c r="D32" s="295">
        <f>'Valuation output'!B21</f>
        <v>3565.7485688884522</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508.3</v>
      </c>
      <c r="E34" s="296"/>
      <c r="F34" s="297"/>
      <c r="G34" s="298"/>
      <c r="H34" s="409"/>
      <c r="I34" s="410"/>
      <c r="J34" s="410"/>
      <c r="K34" s="410"/>
    </row>
    <row r="35" spans="1:11">
      <c r="A35" s="367" t="s">
        <v>651</v>
      </c>
      <c r="B35" s="368"/>
      <c r="C35" s="369"/>
      <c r="D35" s="295">
        <f>'Valuation output'!B27+'Valuation output'!B28</f>
        <v>94</v>
      </c>
      <c r="E35" s="296"/>
      <c r="F35" s="297"/>
      <c r="G35" s="298"/>
      <c r="H35" s="409"/>
      <c r="I35" s="410"/>
      <c r="J35" s="410"/>
      <c r="K35" s="410"/>
    </row>
    <row r="36" spans="1:11">
      <c r="A36" s="367" t="s">
        <v>54</v>
      </c>
      <c r="B36" s="368"/>
      <c r="C36" s="369"/>
      <c r="D36" s="295">
        <f>D32-D33-D34+D35</f>
        <v>3151.448568888452</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1583.4</v>
      </c>
      <c r="E38" s="297"/>
      <c r="F38" s="300"/>
      <c r="G38" s="298"/>
      <c r="H38" s="409"/>
      <c r="I38" s="410"/>
      <c r="J38" s="410"/>
      <c r="K38" s="410"/>
    </row>
    <row r="39" spans="1:11" ht="17" thickBot="1">
      <c r="A39" s="415" t="s">
        <v>623</v>
      </c>
      <c r="B39" s="416"/>
      <c r="C39" s="416"/>
      <c r="D39" s="271">
        <f>(D36-D37)/D38</f>
        <v>1.9903047675182846</v>
      </c>
      <c r="E39" s="417" t="s">
        <v>653</v>
      </c>
      <c r="F39" s="418"/>
      <c r="G39" s="315">
        <f>'Input sheet'!B20</f>
        <v>1.93</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1585.6333333333332</v>
      </c>
    </row>
    <row r="3" spans="1:4" s="144" customFormat="1" ht="13">
      <c r="A3" s="147" t="s">
        <v>8</v>
      </c>
      <c r="B3" s="148">
        <f>'Valuation output'!L39</f>
        <v>2887.6003319140996</v>
      </c>
    </row>
    <row r="4" spans="1:4" s="144" customFormat="1" ht="13">
      <c r="A4" s="147" t="s">
        <v>9</v>
      </c>
      <c r="B4" s="148">
        <f>B3-B2</f>
        <v>1301.9669985807664</v>
      </c>
    </row>
    <row r="5" spans="1:4" s="144" customFormat="1" ht="13">
      <c r="A5" s="147" t="s">
        <v>10</v>
      </c>
      <c r="B5" s="148">
        <f>'Valuation output'!L5-'Valuation output'!B5</f>
        <v>134.50979408455703</v>
      </c>
    </row>
    <row r="6" spans="1:4" s="144" customFormat="1" ht="13">
      <c r="A6" s="147" t="s">
        <v>4</v>
      </c>
      <c r="B6" s="149">
        <f>B5/B4</f>
        <v>0.10331275234409318</v>
      </c>
    </row>
    <row r="7" spans="1:4" s="144" customFormat="1" ht="13">
      <c r="A7" s="147" t="s">
        <v>5</v>
      </c>
      <c r="B7" s="149">
        <f>'Valuation output'!L40</f>
        <v>0.1216018835796422</v>
      </c>
    </row>
    <row r="8" spans="1:4" s="144" customFormat="1" ht="13">
      <c r="A8" s="147" t="s">
        <v>240</v>
      </c>
      <c r="B8" s="149">
        <f>(1/'Valuation output'!L13)^(1/10)-1</f>
        <v>8.1596113086015221E-2</v>
      </c>
    </row>
    <row r="9" spans="1:4" s="144" customFormat="1" ht="14" thickBot="1">
      <c r="A9" s="150" t="s">
        <v>28</v>
      </c>
      <c r="B9" s="151">
        <f>'Valuation output'!B33/'Valuation output'!B34</f>
        <v>1.03124599353279</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1648</v>
      </c>
      <c r="D2" s="331">
        <f>'Valuation output'!B4</f>
        <v>0.1915453074433657</v>
      </c>
      <c r="E2" s="330">
        <f>B2*D2</f>
        <v>315.66666666666669</v>
      </c>
      <c r="F2" s="330">
        <f>'Valuation output'!B10</f>
        <v>0</v>
      </c>
      <c r="G2" s="330">
        <f>E2-H2</f>
        <v>66.289999999999992</v>
      </c>
      <c r="H2" s="330">
        <f>'Valuation output'!B7</f>
        <v>249.37666666666669</v>
      </c>
    </row>
    <row r="3" spans="1:8" s="329" customFormat="1">
      <c r="A3" s="329">
        <v>1</v>
      </c>
      <c r="B3" s="330">
        <f>'Valuation output'!C3</f>
        <v>1779.8400000000001</v>
      </c>
      <c r="C3" s="331">
        <f>'Valuation output'!C2</f>
        <v>0.08</v>
      </c>
      <c r="D3" s="331">
        <f>'Valuation output'!C4</f>
        <v>0.18323624595469257</v>
      </c>
      <c r="E3" s="330">
        <f>B3*D3</f>
        <v>326.13120000000004</v>
      </c>
      <c r="F3" s="330">
        <f>'Valuation output'!C10</f>
        <v>0</v>
      </c>
      <c r="G3" s="330">
        <f t="shared" ref="G3:G12" si="0">E3-H3</f>
        <v>68.487551999999994</v>
      </c>
      <c r="H3" s="330">
        <f>'Valuation output'!C7</f>
        <v>257.64364800000004</v>
      </c>
    </row>
    <row r="4" spans="1:8" s="329" customFormat="1">
      <c r="A4" s="329">
        <v>2</v>
      </c>
      <c r="B4" s="333">
        <f>'Valuation output'!D3</f>
        <v>1922.2272000000003</v>
      </c>
      <c r="C4" s="331">
        <f>B4/B3-1</f>
        <v>8.0000000000000071E-2</v>
      </c>
      <c r="D4" s="331">
        <f>'Valuation output'!D4</f>
        <v>0.1749271844660194</v>
      </c>
      <c r="E4" s="330">
        <f t="shared" ref="E4:E12" si="1">B4*D4</f>
        <v>336.24979200000001</v>
      </c>
      <c r="F4" s="330">
        <f>'Valuation output'!D10</f>
        <v>0</v>
      </c>
      <c r="G4" s="330">
        <f t="shared" si="0"/>
        <v>70.612456320000035</v>
      </c>
      <c r="H4" s="330">
        <f>'Valuation output'!D7</f>
        <v>265.63733567999998</v>
      </c>
    </row>
    <row r="5" spans="1:8" s="329" customFormat="1">
      <c r="A5" s="329">
        <v>3</v>
      </c>
      <c r="B5" s="330">
        <f>'Valuation output'!E3</f>
        <v>2076.0053760000005</v>
      </c>
      <c r="C5" s="331">
        <f t="shared" ref="C5:C12" si="2">B5/B4-1</f>
        <v>8.0000000000000071E-2</v>
      </c>
      <c r="D5" s="331">
        <f>'Valuation output'!E4</f>
        <v>0.16661812297734627</v>
      </c>
      <c r="E5" s="330">
        <f t="shared" si="1"/>
        <v>345.90011904000005</v>
      </c>
      <c r="F5" s="330">
        <f>'Valuation output'!E10</f>
        <v>0</v>
      </c>
      <c r="G5" s="330">
        <f t="shared" si="0"/>
        <v>72.639024998400032</v>
      </c>
      <c r="H5" s="330">
        <f>'Valuation output'!E7</f>
        <v>273.26109404160002</v>
      </c>
    </row>
    <row r="6" spans="1:8" s="329" customFormat="1">
      <c r="A6" s="329">
        <v>4</v>
      </c>
      <c r="B6" s="330">
        <f>'Valuation output'!F3</f>
        <v>2242.0858060800006</v>
      </c>
      <c r="C6" s="331">
        <f t="shared" si="2"/>
        <v>8.0000000000000071E-2</v>
      </c>
      <c r="D6" s="331">
        <f>'Valuation output'!F4</f>
        <v>0.15830906148867313</v>
      </c>
      <c r="E6" s="330">
        <f t="shared" si="1"/>
        <v>354.94249973760009</v>
      </c>
      <c r="F6" s="330">
        <f>'Valuation output'!F10</f>
        <v>0</v>
      </c>
      <c r="G6" s="330">
        <f t="shared" si="0"/>
        <v>74.537924944896019</v>
      </c>
      <c r="H6" s="330">
        <f>'Valuation output'!F7</f>
        <v>280.40457479270407</v>
      </c>
    </row>
    <row r="7" spans="1:8" s="329" customFormat="1">
      <c r="A7" s="329">
        <v>5</v>
      </c>
      <c r="B7" s="330">
        <f>'Valuation output'!G3</f>
        <v>2421.4526705664007</v>
      </c>
      <c r="C7" s="331">
        <f t="shared" si="2"/>
        <v>8.0000000000000071E-2</v>
      </c>
      <c r="D7" s="331">
        <f>'Valuation output'!G4</f>
        <v>0.15</v>
      </c>
      <c r="E7" s="330">
        <f t="shared" si="1"/>
        <v>363.21790058496009</v>
      </c>
      <c r="F7" s="330">
        <f>'Valuation output'!G10</f>
        <v>0</v>
      </c>
      <c r="G7" s="330">
        <f t="shared" si="0"/>
        <v>76.275759122841635</v>
      </c>
      <c r="H7" s="330">
        <f>'Valuation output'!G7</f>
        <v>286.94214146211846</v>
      </c>
    </row>
    <row r="8" spans="1:8" s="329" customFormat="1">
      <c r="A8" s="329">
        <v>6</v>
      </c>
      <c r="B8" s="330">
        <f>'Valuation output'!H3</f>
        <v>2586.111452164916</v>
      </c>
      <c r="C8" s="331">
        <f t="shared" si="2"/>
        <v>6.800000000000006E-2</v>
      </c>
      <c r="D8" s="331">
        <f>'Valuation output'!H4</f>
        <v>0.15</v>
      </c>
      <c r="E8" s="330">
        <f t="shared" si="1"/>
        <v>387.91671782473742</v>
      </c>
      <c r="F8" s="330">
        <f>'Valuation output'!H10</f>
        <v>0</v>
      </c>
      <c r="G8" s="330">
        <f t="shared" si="0"/>
        <v>82.238344178844329</v>
      </c>
      <c r="H8" s="330">
        <f>'Valuation output'!H7</f>
        <v>305.67837364589309</v>
      </c>
    </row>
    <row r="9" spans="1:8" s="329" customFormat="1">
      <c r="A9" s="329">
        <v>7</v>
      </c>
      <c r="B9" s="330">
        <f>'Valuation output'!I3</f>
        <v>2730.9336934861517</v>
      </c>
      <c r="C9" s="331">
        <f t="shared" si="2"/>
        <v>5.600000000000005E-2</v>
      </c>
      <c r="D9" s="331">
        <f>'Valuation output'!I4</f>
        <v>0.15</v>
      </c>
      <c r="E9" s="330">
        <f t="shared" si="1"/>
        <v>409.64005402292275</v>
      </c>
      <c r="F9" s="330">
        <f>'Valuation output'!I10</f>
        <v>0</v>
      </c>
      <c r="G9" s="330">
        <f t="shared" si="0"/>
        <v>87.662971560905476</v>
      </c>
      <c r="H9" s="330">
        <f>'Valuation output'!I7</f>
        <v>321.97708246201728</v>
      </c>
    </row>
    <row r="10" spans="1:8" s="329" customFormat="1">
      <c r="A10" s="329">
        <v>8</v>
      </c>
      <c r="B10" s="330">
        <f>'Valuation output'!J3</f>
        <v>2851.0947759995424</v>
      </c>
      <c r="C10" s="331">
        <f t="shared" si="2"/>
        <v>4.4000000000000039E-2</v>
      </c>
      <c r="D10" s="331">
        <f>'Valuation output'!J4</f>
        <v>0.15</v>
      </c>
      <c r="E10" s="330">
        <f t="shared" si="1"/>
        <v>427.66421639993138</v>
      </c>
      <c r="F10" s="330">
        <f>'Valuation output'!J10</f>
        <v>0</v>
      </c>
      <c r="G10" s="330">
        <f t="shared" si="0"/>
        <v>92.375470742385176</v>
      </c>
      <c r="H10" s="330">
        <f>'Valuation output'!J7</f>
        <v>335.2887456575462</v>
      </c>
    </row>
    <row r="11" spans="1:8" s="329" customFormat="1">
      <c r="A11" s="329">
        <v>9</v>
      </c>
      <c r="B11" s="330">
        <f>'Valuation output'!K3</f>
        <v>2942.3298088315278</v>
      </c>
      <c r="C11" s="331">
        <f t="shared" si="2"/>
        <v>3.2000000000000028E-2</v>
      </c>
      <c r="D11" s="331">
        <f>'Valuation output'!K4</f>
        <v>0.15</v>
      </c>
      <c r="E11" s="330">
        <f t="shared" si="1"/>
        <v>441.34947132472917</v>
      </c>
      <c r="F11" s="330">
        <f>'Valuation output'!K10</f>
        <v>0</v>
      </c>
      <c r="G11" s="330">
        <f t="shared" si="0"/>
        <v>96.214184748790956</v>
      </c>
      <c r="H11" s="330">
        <f>'Valuation output'!K7</f>
        <v>345.13528657593821</v>
      </c>
    </row>
    <row r="12" spans="1:8" s="329" customFormat="1">
      <c r="A12" s="329">
        <v>10</v>
      </c>
      <c r="B12" s="330">
        <f>'Valuation output'!L3</f>
        <v>3001.1764050081583</v>
      </c>
      <c r="C12" s="331">
        <f t="shared" si="2"/>
        <v>2.0000000000000018E-2</v>
      </c>
      <c r="D12" s="331">
        <f>'Valuation output'!L4</f>
        <v>0.15</v>
      </c>
      <c r="E12" s="330">
        <f t="shared" si="1"/>
        <v>450.17646075122371</v>
      </c>
      <c r="F12" s="330">
        <f>'Valuation output'!L10</f>
        <v>0</v>
      </c>
      <c r="G12" s="330">
        <f t="shared" si="0"/>
        <v>99.0388213652692</v>
      </c>
      <c r="H12" s="330">
        <f>'Valuation output'!L7</f>
        <v>351.13763938595451</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249.37666666666669</v>
      </c>
      <c r="G15" s="335">
        <f>'Valuation output'!B39</f>
        <v>1585.6333333333332</v>
      </c>
      <c r="H15" s="336">
        <f>B15/G15</f>
        <v>0.15727259349576408</v>
      </c>
    </row>
    <row r="16" spans="1:8" s="329" customFormat="1">
      <c r="A16" s="329">
        <f t="shared" ref="A16:A24" si="3">A3</f>
        <v>1</v>
      </c>
      <c r="B16" s="330">
        <f t="shared" ref="B16:B25" si="4">H3</f>
        <v>257.64364800000004</v>
      </c>
      <c r="C16" s="330">
        <f>B3-B2</f>
        <v>131.84000000000015</v>
      </c>
      <c r="D16" s="334">
        <f>'Valuation output'!C38</f>
        <v>1.0393323382875403</v>
      </c>
      <c r="E16" s="330">
        <f>C16/D16</f>
        <v>126.85066666666678</v>
      </c>
      <c r="F16" s="330">
        <f>B16-E16</f>
        <v>130.79298133333327</v>
      </c>
      <c r="G16" s="330">
        <f>G15+E16</f>
        <v>1712.4839999999999</v>
      </c>
      <c r="H16" s="336">
        <f t="shared" ref="H16:H25" si="5">B16/G16</f>
        <v>0.15045025121402597</v>
      </c>
    </row>
    <row r="17" spans="1:8" s="329" customFormat="1">
      <c r="A17" s="329">
        <f t="shared" si="3"/>
        <v>2</v>
      </c>
      <c r="B17" s="330">
        <f t="shared" si="4"/>
        <v>265.63733567999998</v>
      </c>
      <c r="C17" s="330">
        <f t="shared" ref="C17:C25" si="6">B4-B3</f>
        <v>142.38720000000012</v>
      </c>
      <c r="D17" s="334">
        <f>'Valuation output'!D38</f>
        <v>1.0393323382875403</v>
      </c>
      <c r="E17" s="330">
        <f t="shared" ref="E17:E25" si="7">C17/D17</f>
        <v>136.99872000000011</v>
      </c>
      <c r="F17" s="330">
        <f t="shared" ref="F17:F25" si="8">B17-E17</f>
        <v>128.63861567999987</v>
      </c>
      <c r="G17" s="330">
        <f t="shared" ref="G17:G25" si="9">G16+E17</f>
        <v>1849.48272</v>
      </c>
      <c r="H17" s="336">
        <f t="shared" si="5"/>
        <v>0.14362790893228783</v>
      </c>
    </row>
    <row r="18" spans="1:8" s="329" customFormat="1">
      <c r="A18" s="329">
        <f t="shared" si="3"/>
        <v>3</v>
      </c>
      <c r="B18" s="330">
        <f t="shared" si="4"/>
        <v>273.26109404160002</v>
      </c>
      <c r="C18" s="330">
        <f t="shared" si="6"/>
        <v>153.77817600000026</v>
      </c>
      <c r="D18" s="334">
        <f>'Valuation output'!E38</f>
        <v>1.0393323382875403</v>
      </c>
      <c r="E18" s="330">
        <f t="shared" si="7"/>
        <v>147.95861760000022</v>
      </c>
      <c r="F18" s="330">
        <f t="shared" si="8"/>
        <v>125.30247644159979</v>
      </c>
      <c r="G18" s="330">
        <f t="shared" si="9"/>
        <v>1997.4413376000002</v>
      </c>
      <c r="H18" s="336">
        <f t="shared" si="5"/>
        <v>0.13680556665054971</v>
      </c>
    </row>
    <row r="19" spans="1:8" s="329" customFormat="1">
      <c r="A19" s="329">
        <f t="shared" si="3"/>
        <v>4</v>
      </c>
      <c r="B19" s="330">
        <f t="shared" si="4"/>
        <v>280.40457479270407</v>
      </c>
      <c r="C19" s="330">
        <f t="shared" si="6"/>
        <v>166.08043008000004</v>
      </c>
      <c r="D19" s="334">
        <f>'Valuation output'!F38</f>
        <v>1.0393323382875403</v>
      </c>
      <c r="E19" s="330">
        <f t="shared" si="7"/>
        <v>159.79530700800001</v>
      </c>
      <c r="F19" s="330">
        <f t="shared" si="8"/>
        <v>120.60926778470406</v>
      </c>
      <c r="G19" s="330">
        <f t="shared" si="9"/>
        <v>2157.2366446080005</v>
      </c>
      <c r="H19" s="336">
        <f t="shared" si="5"/>
        <v>0.12998322436881163</v>
      </c>
    </row>
    <row r="20" spans="1:8" s="329" customFormat="1">
      <c r="A20" s="329">
        <f t="shared" si="3"/>
        <v>5</v>
      </c>
      <c r="B20" s="330">
        <f t="shared" si="4"/>
        <v>286.94214146211846</v>
      </c>
      <c r="C20" s="330">
        <f t="shared" si="6"/>
        <v>179.36686448640012</v>
      </c>
      <c r="D20" s="334">
        <f>'Valuation output'!G38</f>
        <v>1.0393323382875403</v>
      </c>
      <c r="E20" s="330">
        <f t="shared" si="7"/>
        <v>172.57893156864009</v>
      </c>
      <c r="F20" s="330">
        <f t="shared" si="8"/>
        <v>114.36320989347837</v>
      </c>
      <c r="G20" s="330">
        <f t="shared" si="9"/>
        <v>2329.8155761766407</v>
      </c>
      <c r="H20" s="336">
        <f t="shared" si="5"/>
        <v>0.1231608820870735</v>
      </c>
    </row>
    <row r="21" spans="1:8" s="329" customFormat="1">
      <c r="A21" s="329">
        <f t="shared" si="3"/>
        <v>6</v>
      </c>
      <c r="B21" s="330">
        <f t="shared" si="4"/>
        <v>305.67837364589309</v>
      </c>
      <c r="C21" s="330">
        <f t="shared" si="6"/>
        <v>164.65878159851536</v>
      </c>
      <c r="D21" s="334">
        <f>'Valuation output'!H38</f>
        <v>1.0393323382875403</v>
      </c>
      <c r="E21" s="330">
        <f t="shared" si="7"/>
        <v>158.42745918001165</v>
      </c>
      <c r="F21" s="330">
        <f t="shared" si="8"/>
        <v>147.25091446588144</v>
      </c>
      <c r="G21" s="330">
        <f t="shared" si="9"/>
        <v>2488.2430353566524</v>
      </c>
      <c r="H21" s="336">
        <f t="shared" si="5"/>
        <v>0.12284908238558725</v>
      </c>
    </row>
    <row r="22" spans="1:8" s="329" customFormat="1">
      <c r="A22" s="329">
        <f t="shared" si="3"/>
        <v>7</v>
      </c>
      <c r="B22" s="330">
        <f t="shared" si="4"/>
        <v>321.97708246201728</v>
      </c>
      <c r="C22" s="330">
        <f t="shared" si="6"/>
        <v>144.82224132123565</v>
      </c>
      <c r="D22" s="334">
        <f>'Valuation output'!I38</f>
        <v>1.0393323382875403</v>
      </c>
      <c r="E22" s="330">
        <f t="shared" si="7"/>
        <v>139.34160997997284</v>
      </c>
      <c r="F22" s="330">
        <f t="shared" si="8"/>
        <v>182.63547248204443</v>
      </c>
      <c r="G22" s="330">
        <f t="shared" si="9"/>
        <v>2627.5846453366253</v>
      </c>
      <c r="H22" s="336">
        <f t="shared" si="5"/>
        <v>0.12253728268410098</v>
      </c>
    </row>
    <row r="23" spans="1:8" s="329" customFormat="1">
      <c r="A23" s="329">
        <f t="shared" si="3"/>
        <v>8</v>
      </c>
      <c r="B23" s="330">
        <f t="shared" si="4"/>
        <v>335.2887456575462</v>
      </c>
      <c r="C23" s="330">
        <f t="shared" si="6"/>
        <v>120.16108251339074</v>
      </c>
      <c r="D23" s="334">
        <f>'Valuation output'!J38</f>
        <v>1.0393323382875403</v>
      </c>
      <c r="E23" s="330">
        <f t="shared" si="7"/>
        <v>115.61372439481156</v>
      </c>
      <c r="F23" s="330">
        <f t="shared" si="8"/>
        <v>219.67502126273465</v>
      </c>
      <c r="G23" s="330">
        <f t="shared" si="9"/>
        <v>2743.1983697314367</v>
      </c>
      <c r="H23" s="336">
        <f t="shared" si="5"/>
        <v>0.12222548298261474</v>
      </c>
    </row>
    <row r="24" spans="1:8" s="329" customFormat="1">
      <c r="A24" s="329">
        <f t="shared" si="3"/>
        <v>9</v>
      </c>
      <c r="B24" s="330">
        <f t="shared" si="4"/>
        <v>345.13528657593821</v>
      </c>
      <c r="C24" s="330">
        <f t="shared" si="6"/>
        <v>91.235032831985336</v>
      </c>
      <c r="D24" s="334">
        <f>'Valuation output'!K38</f>
        <v>1.0393323382875403</v>
      </c>
      <c r="E24" s="330">
        <f t="shared" si="7"/>
        <v>87.782347831405943</v>
      </c>
      <c r="F24" s="330">
        <f t="shared" si="8"/>
        <v>257.35293874453225</v>
      </c>
      <c r="G24" s="330">
        <f t="shared" si="9"/>
        <v>2830.9807175628425</v>
      </c>
      <c r="H24" s="336">
        <f t="shared" si="5"/>
        <v>0.12191368328112848</v>
      </c>
    </row>
    <row r="25" spans="1:8" s="329" customFormat="1">
      <c r="A25" s="329">
        <f>A12</f>
        <v>10</v>
      </c>
      <c r="B25" s="330">
        <f t="shared" si="4"/>
        <v>351.13763938595451</v>
      </c>
      <c r="C25" s="330">
        <f t="shared" si="6"/>
        <v>58.846596176630555</v>
      </c>
      <c r="D25" s="334">
        <f>'Valuation output'!L38</f>
        <v>1.0393323382875403</v>
      </c>
      <c r="E25" s="330">
        <f t="shared" si="7"/>
        <v>56.61961435125685</v>
      </c>
      <c r="F25" s="330">
        <f t="shared" si="8"/>
        <v>294.51802503469764</v>
      </c>
      <c r="G25" s="330">
        <f t="shared" si="9"/>
        <v>2887.6003319140996</v>
      </c>
      <c r="H25" s="336">
        <f t="shared" si="5"/>
        <v>0.1216018835796422</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8.8757386354928872E-2</v>
      </c>
    </row>
    <row r="29" spans="1:8">
      <c r="A29">
        <f t="shared" ref="A29:A37" si="10">A17</f>
        <v>2</v>
      </c>
      <c r="H29" s="324">
        <f>'Valuation output'!D12</f>
        <v>8.8757386354928872E-2</v>
      </c>
    </row>
    <row r="30" spans="1:8">
      <c r="A30">
        <f t="shared" si="10"/>
        <v>3</v>
      </c>
      <c r="H30" s="324">
        <f>'Valuation output'!E12</f>
        <v>8.8757386354928872E-2</v>
      </c>
    </row>
    <row r="31" spans="1:8">
      <c r="A31">
        <f t="shared" si="10"/>
        <v>4</v>
      </c>
      <c r="H31" s="324">
        <f>'Valuation output'!F12</f>
        <v>8.8757386354928872E-2</v>
      </c>
    </row>
    <row r="32" spans="1:8">
      <c r="A32">
        <f t="shared" si="10"/>
        <v>5</v>
      </c>
      <c r="H32" s="324">
        <f>'Valuation output'!G12</f>
        <v>8.8757386354928872E-2</v>
      </c>
    </row>
    <row r="33" spans="1:8">
      <c r="A33">
        <f t="shared" si="10"/>
        <v>6</v>
      </c>
      <c r="H33" s="324">
        <f>'Valuation output'!H12</f>
        <v>8.4005909083943092E-2</v>
      </c>
    </row>
    <row r="34" spans="1:8">
      <c r="A34">
        <f t="shared" si="10"/>
        <v>7</v>
      </c>
      <c r="H34" s="324">
        <f>'Valuation output'!I12</f>
        <v>7.9254431812957313E-2</v>
      </c>
    </row>
    <row r="35" spans="1:8">
      <c r="A35">
        <f t="shared" si="10"/>
        <v>8</v>
      </c>
      <c r="H35" s="324">
        <f>'Valuation output'!J12</f>
        <v>7.4502954541971533E-2</v>
      </c>
    </row>
    <row r="36" spans="1:8">
      <c r="A36">
        <f t="shared" si="10"/>
        <v>9</v>
      </c>
      <c r="H36" s="324">
        <f>'Valuation output'!K12</f>
        <v>6.9751477270985754E-2</v>
      </c>
    </row>
    <row r="37" spans="1:8">
      <c r="A37">
        <f t="shared" si="10"/>
        <v>10</v>
      </c>
      <c r="H37" s="324">
        <f>'Valuation output'!L12</f>
        <v>6.4999999999999974E-2</v>
      </c>
    </row>
    <row r="38" spans="1:8" ht="13" thickBot="1"/>
    <row r="39" spans="1:8" ht="31" thickBot="1">
      <c r="A39" s="328" t="s">
        <v>120</v>
      </c>
      <c r="B39" s="328" t="s">
        <v>680</v>
      </c>
      <c r="C39" s="328" t="s">
        <v>683</v>
      </c>
      <c r="D39" s="328" t="s">
        <v>16</v>
      </c>
      <c r="E39" s="328" t="s">
        <v>684</v>
      </c>
      <c r="F39" s="328" t="s">
        <v>130</v>
      </c>
    </row>
    <row r="40" spans="1:8">
      <c r="A40">
        <f>A28</f>
        <v>1</v>
      </c>
      <c r="B40" s="337">
        <f>H28</f>
        <v>8.8757386354928872E-2</v>
      </c>
      <c r="C40" s="338">
        <f>(1+'Summary Sheet'!B40)</f>
        <v>1.0887573863549289</v>
      </c>
      <c r="D40" s="332">
        <f>F16</f>
        <v>130.79298133333327</v>
      </c>
      <c r="F40" s="332">
        <f>D40/C40</f>
        <v>120.13051114281532</v>
      </c>
    </row>
    <row r="41" spans="1:8">
      <c r="A41">
        <f t="shared" ref="A41:A49" si="11">A29</f>
        <v>2</v>
      </c>
      <c r="B41" s="337">
        <f t="shared" ref="B41:B49" si="12">H29</f>
        <v>8.8757386354928872E-2</v>
      </c>
      <c r="C41" s="338">
        <f>C40*(1+B41)</f>
        <v>1.185392646342416</v>
      </c>
      <c r="D41" s="332">
        <f t="shared" ref="D41:D49" si="13">F17</f>
        <v>128.63861567999987</v>
      </c>
      <c r="F41" s="332">
        <f t="shared" ref="F41:F48" si="14">D41/C41</f>
        <v>108.51983608715668</v>
      </c>
    </row>
    <row r="42" spans="1:8">
      <c r="A42">
        <f t="shared" si="11"/>
        <v>3</v>
      </c>
      <c r="B42" s="337">
        <f t="shared" si="12"/>
        <v>8.8757386354928872E-2</v>
      </c>
      <c r="C42" s="338">
        <f t="shared" ref="C42:C49" si="15">C41*(1+B42)</f>
        <v>1.2906049994361215</v>
      </c>
      <c r="D42" s="332">
        <f t="shared" si="13"/>
        <v>125.30247644159979</v>
      </c>
      <c r="F42" s="332">
        <f t="shared" si="14"/>
        <v>97.088169111653627</v>
      </c>
    </row>
    <row r="43" spans="1:8">
      <c r="A43">
        <f t="shared" si="11"/>
        <v>4</v>
      </c>
      <c r="B43" s="337">
        <f t="shared" si="12"/>
        <v>8.8757386354928872E-2</v>
      </c>
      <c r="C43" s="338">
        <f t="shared" si="15"/>
        <v>1.4051557260026761</v>
      </c>
      <c r="D43" s="332">
        <f t="shared" si="13"/>
        <v>120.60926778470406</v>
      </c>
      <c r="F43" s="332">
        <f t="shared" si="14"/>
        <v>85.83338170482206</v>
      </c>
    </row>
    <row r="44" spans="1:8">
      <c r="A44">
        <f t="shared" si="11"/>
        <v>5</v>
      </c>
      <c r="B44" s="337">
        <f t="shared" si="12"/>
        <v>8.8757386354928872E-2</v>
      </c>
      <c r="C44" s="338">
        <f t="shared" si="15"/>
        <v>1.5298736756643363</v>
      </c>
      <c r="D44" s="332">
        <f t="shared" si="13"/>
        <v>114.36320989347837</v>
      </c>
      <c r="F44" s="332">
        <f t="shared" si="14"/>
        <v>74.753368015053269</v>
      </c>
    </row>
    <row r="45" spans="1:8">
      <c r="A45">
        <f t="shared" si="11"/>
        <v>6</v>
      </c>
      <c r="B45" s="337">
        <f t="shared" si="12"/>
        <v>8.4005909083943092E-2</v>
      </c>
      <c r="C45" s="338">
        <f t="shared" si="15"/>
        <v>1.6583921045721124</v>
      </c>
      <c r="D45" s="332">
        <f t="shared" si="13"/>
        <v>147.25091446588144</v>
      </c>
      <c r="F45" s="332">
        <f t="shared" si="14"/>
        <v>88.791374524708175</v>
      </c>
    </row>
    <row r="46" spans="1:8">
      <c r="A46">
        <f t="shared" si="11"/>
        <v>7</v>
      </c>
      <c r="B46" s="337">
        <f t="shared" si="12"/>
        <v>7.9254431812957313E-2</v>
      </c>
      <c r="C46" s="338">
        <f t="shared" si="15"/>
        <v>1.7898270285430697</v>
      </c>
      <c r="D46" s="332">
        <f t="shared" si="13"/>
        <v>182.63547248204443</v>
      </c>
      <c r="F46" s="332">
        <f t="shared" si="14"/>
        <v>102.0408506349973</v>
      </c>
    </row>
    <row r="47" spans="1:8">
      <c r="A47">
        <f t="shared" si="11"/>
        <v>8</v>
      </c>
      <c r="B47" s="337">
        <f t="shared" si="12"/>
        <v>7.4502954541971533E-2</v>
      </c>
      <c r="C47" s="338">
        <f t="shared" si="15"/>
        <v>1.923174430288606</v>
      </c>
      <c r="D47" s="332">
        <f t="shared" si="13"/>
        <v>219.67502126273465</v>
      </c>
      <c r="F47" s="332">
        <f t="shared" si="14"/>
        <v>114.22521940964479</v>
      </c>
    </row>
    <row r="48" spans="1:8">
      <c r="A48">
        <f t="shared" si="11"/>
        <v>9</v>
      </c>
      <c r="B48" s="337">
        <f t="shared" si="12"/>
        <v>6.9751477270985754E-2</v>
      </c>
      <c r="C48" s="338">
        <f t="shared" si="15"/>
        <v>2.0573186878510228</v>
      </c>
      <c r="D48" s="332">
        <f t="shared" si="13"/>
        <v>257.35293874453225</v>
      </c>
      <c r="F48" s="332">
        <f t="shared" si="14"/>
        <v>125.09143102829192</v>
      </c>
    </row>
    <row r="49" spans="1:6">
      <c r="A49">
        <f t="shared" si="11"/>
        <v>10</v>
      </c>
      <c r="B49" s="337">
        <f t="shared" si="12"/>
        <v>6.4999999999999974E-2</v>
      </c>
      <c r="C49" s="338">
        <f t="shared" si="15"/>
        <v>2.1910444025613391</v>
      </c>
      <c r="D49" s="332">
        <f t="shared" si="13"/>
        <v>294.51802503469764</v>
      </c>
      <c r="E49" s="332">
        <f>'Valuation output'!B18</f>
        <v>5510.1598795949785</v>
      </c>
      <c r="F49" s="332">
        <f>(D49+E49)/C49</f>
        <v>2649.2744272293094</v>
      </c>
    </row>
    <row r="50" spans="1:6">
      <c r="A50" t="s">
        <v>44</v>
      </c>
      <c r="F50" s="332">
        <f>SUM(F40:F49)</f>
        <v>3565.7485688884526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42.76</v>
      </c>
    </row>
    <row r="4" spans="1:7" ht="14">
      <c r="A4" s="8" t="s">
        <v>65</v>
      </c>
      <c r="B4" s="8"/>
      <c r="D4" s="12">
        <f>'Input sheet'!B35</f>
        <v>5.9</v>
      </c>
    </row>
    <row r="5" spans="1:7" ht="14">
      <c r="A5" s="8" t="s">
        <v>66</v>
      </c>
      <c r="B5" s="8"/>
      <c r="D5" s="10">
        <f>'Input sheet'!B36</f>
        <v>0.25</v>
      </c>
      <c r="E5" s="8" t="s">
        <v>67</v>
      </c>
    </row>
    <row r="6" spans="1:7" ht="14">
      <c r="A6" s="8" t="s">
        <v>68</v>
      </c>
      <c r="B6" s="8"/>
      <c r="D6" s="11">
        <v>0</v>
      </c>
    </row>
    <row r="7" spans="1:7" ht="14">
      <c r="A7" s="8" t="s">
        <v>69</v>
      </c>
      <c r="B7" s="8"/>
      <c r="D7" s="11">
        <f>'Input sheet'!B29</f>
        <v>0.02</v>
      </c>
    </row>
    <row r="8" spans="1:7" ht="14">
      <c r="A8" s="8" t="s">
        <v>70</v>
      </c>
      <c r="B8" s="8"/>
      <c r="D8" s="12">
        <f>'Input sheet'!B33</f>
        <v>39.9</v>
      </c>
    </row>
    <row r="9" spans="1:7" ht="14">
      <c r="A9" s="8" t="s">
        <v>71</v>
      </c>
      <c r="B9" s="8"/>
      <c r="D9" s="13">
        <f>'Input sheet'!B19</f>
        <v>1583.4</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39.9</v>
      </c>
      <c r="G13" s="20"/>
    </row>
    <row r="14" spans="1:7" s="8" customFormat="1" ht="14">
      <c r="A14" s="8" t="s">
        <v>76</v>
      </c>
      <c r="C14" s="18">
        <f>D3</f>
        <v>42.76</v>
      </c>
      <c r="D14" s="8" t="s">
        <v>77</v>
      </c>
      <c r="F14" s="21">
        <f>D9</f>
        <v>1583.4</v>
      </c>
      <c r="G14" s="20"/>
    </row>
    <row r="15" spans="1:7" s="8" customFormat="1" ht="14">
      <c r="A15" s="8" t="s">
        <v>78</v>
      </c>
      <c r="C15" s="18">
        <f ca="1">(C13*F14+C26*F13)/(F14+F13)</f>
        <v>126.90146549610469</v>
      </c>
      <c r="D15" s="8" t="s">
        <v>79</v>
      </c>
      <c r="F15" s="22">
        <f>D7</f>
        <v>0.02</v>
      </c>
    </row>
    <row r="16" spans="1:7" s="8" customFormat="1" ht="14">
      <c r="A16" s="8" t="s">
        <v>80</v>
      </c>
      <c r="C16" s="18">
        <f>C14</f>
        <v>42.76</v>
      </c>
      <c r="D16" s="8" t="s">
        <v>81</v>
      </c>
      <c r="F16" s="23">
        <f>D5^2</f>
        <v>6.25E-2</v>
      </c>
    </row>
    <row r="17" spans="1:7" s="8" customFormat="1" ht="14">
      <c r="A17" s="8" t="s">
        <v>82</v>
      </c>
      <c r="C17" s="18">
        <f>D4</f>
        <v>5.9</v>
      </c>
      <c r="D17" s="8" t="s">
        <v>83</v>
      </c>
      <c r="F17" s="22">
        <f>D6</f>
        <v>0</v>
      </c>
    </row>
    <row r="18" spans="1:7" s="8" customFormat="1" ht="14">
      <c r="C18" s="17"/>
      <c r="D18" s="8" t="s">
        <v>84</v>
      </c>
      <c r="F18" s="24">
        <f>F15-F17</f>
        <v>0.02</v>
      </c>
    </row>
    <row r="19" spans="1:7" s="8" customFormat="1" ht="14"/>
    <row r="20" spans="1:7" s="8" customFormat="1" ht="14">
      <c r="A20" s="8" t="s">
        <v>85</v>
      </c>
      <c r="B20" s="19">
        <f ca="1">(LN(C15/C16)+(F18+(F16/2))*C17)/(((F16)^(0.5))*(C17^0.5))</f>
        <v>2.2893168665580603</v>
      </c>
    </row>
    <row r="21" spans="1:7" s="8" customFormat="1" ht="14">
      <c r="A21" s="8" t="s">
        <v>86</v>
      </c>
      <c r="B21" s="19">
        <f ca="1">NORMSDIST(B20)</f>
        <v>0.98896952579045683</v>
      </c>
    </row>
    <row r="22" spans="1:7" s="8" customFormat="1" ht="14"/>
    <row r="23" spans="1:7" s="8" customFormat="1" ht="15.75" customHeight="1">
      <c r="A23" s="8" t="s">
        <v>87</v>
      </c>
      <c r="B23" s="19">
        <f ca="1">B20-((F16^0.5)*(C17^(0.5)))</f>
        <v>1.6820689764835044</v>
      </c>
    </row>
    <row r="24" spans="1:7" s="8" customFormat="1" ht="14">
      <c r="A24" s="8" t="s">
        <v>88</v>
      </c>
      <c r="B24" s="19">
        <f ca="1">NORMSDIST(B23)</f>
        <v>0.95372226732205467</v>
      </c>
    </row>
    <row r="25" spans="1:7" ht="15" thickBot="1">
      <c r="A25" s="8"/>
      <c r="B25" s="8"/>
    </row>
    <row r="26" spans="1:7" s="8" customFormat="1" ht="15" thickBot="1">
      <c r="A26" s="8" t="s">
        <v>89</v>
      </c>
      <c r="C26" s="25">
        <f ca="1">((EXP((0-F17)*C17))*C15*B21-C16*(EXP((0-F15)*C17))*B24)</f>
        <v>89.259622552048796</v>
      </c>
      <c r="G26" s="26"/>
    </row>
    <row r="27" spans="1:7" s="8" customFormat="1" ht="15" thickBot="1">
      <c r="A27" s="8" t="s">
        <v>90</v>
      </c>
      <c r="D27" s="27">
        <f ca="1">C26*D8</f>
        <v>3561.4589398267467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9" workbookViewId="0">
      <selection activeCell="C27" sqref="C2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98061</v>
      </c>
      <c r="I5" s="123">
        <f>IF(H5=0,0,VLOOKUP(G5,'Country equity risk premiums'!$A$5:$D$190,4))</f>
        <v>5.1999999999999998E-2</v>
      </c>
      <c r="J5" s="123">
        <f t="shared" ref="J5:J12" si="0">IF(H5&gt;0,H5/$H$18,)</f>
        <v>0.36921252282610739</v>
      </c>
      <c r="K5" s="123">
        <f t="shared" ref="K5:K12" si="1">IF(J5=0,0,I5*J5)</f>
        <v>1.9199051186957583E-2</v>
      </c>
      <c r="M5" s="428" t="s">
        <v>663</v>
      </c>
      <c r="N5" s="428"/>
      <c r="O5" s="428"/>
      <c r="P5" s="428"/>
      <c r="Q5" s="428"/>
    </row>
    <row r="6" spans="1:17" s="8" customFormat="1" ht="15" customHeight="1">
      <c r="A6" s="114" t="s">
        <v>185</v>
      </c>
      <c r="B6" s="120">
        <f>'Input sheet'!B19</f>
        <v>1583.4</v>
      </c>
      <c r="G6" s="230" t="s">
        <v>273</v>
      </c>
      <c r="H6" s="162">
        <v>51942</v>
      </c>
      <c r="I6" s="123">
        <f>IF(H6=0,0,VLOOKUP(G6,'Country equity risk premiums'!$A$5:$D$190,4))</f>
        <v>6.1766816753705156E-2</v>
      </c>
      <c r="J6" s="123">
        <f t="shared" si="0"/>
        <v>0.19556844067094636</v>
      </c>
      <c r="K6" s="123">
        <f t="shared" si="1"/>
        <v>1.2079640037730204E-2</v>
      </c>
      <c r="M6" s="428"/>
      <c r="N6" s="428"/>
      <c r="O6" s="428"/>
      <c r="P6" s="428"/>
      <c r="Q6" s="428"/>
    </row>
    <row r="7" spans="1:17" s="8" customFormat="1" ht="15" customHeight="1">
      <c r="A7" s="114" t="s">
        <v>186</v>
      </c>
      <c r="B7" s="121">
        <f>'Input sheet'!B20</f>
        <v>1.93</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1.1894809072126773</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0.02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5.8886857967356196E-2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0.43521903650294619</v>
      </c>
      <c r="K16" s="123">
        <f>IF(J16=0,0,I16*J16)</f>
        <v>3.2162686797567723E-2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460.3</v>
      </c>
      <c r="G18" s="163" t="s">
        <v>384</v>
      </c>
      <c r="H18" s="163">
        <f>SUM(H5:H17)</f>
        <v>265595</v>
      </c>
      <c r="I18" s="163"/>
      <c r="J18" s="123">
        <f>SUM(J5:J17)</f>
        <v>1</v>
      </c>
      <c r="K18" s="123">
        <f>SUM(K5:K17)</f>
        <v>6.344137802225551E-2</v>
      </c>
      <c r="M18" s="428"/>
      <c r="N18" s="428"/>
      <c r="O18" s="428"/>
      <c r="P18" s="428"/>
      <c r="Q18" s="428"/>
    </row>
    <row r="19" spans="1:17" s="8" customFormat="1" ht="15" customHeight="1">
      <c r="A19" s="8" t="s">
        <v>190</v>
      </c>
      <c r="B19" s="121">
        <f>'Input sheet'!B10</f>
        <v>20</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454</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3.309872603103324E-2</v>
      </c>
      <c r="G25" s="19" t="str">
        <f>'Country equity risk premiums'!A198</f>
        <v>US</v>
      </c>
      <c r="H25" s="230">
        <v>0</v>
      </c>
      <c r="I25" s="24">
        <f>'Country equity risk premiums'!B198</f>
        <v>5.1999999999999998E-2</v>
      </c>
      <c r="J25" s="123">
        <f t="shared" si="2"/>
        <v>0</v>
      </c>
      <c r="K25" s="165">
        <f t="shared" si="3"/>
        <v>0</v>
      </c>
    </row>
    <row r="26" spans="1:17" s="8" customFormat="1" ht="15" customHeight="1">
      <c r="A26" s="8" t="s">
        <v>192</v>
      </c>
      <c r="B26" s="236">
        <f>'Input sheet'!B22</f>
        <v>0.22</v>
      </c>
      <c r="G26" s="19" t="str">
        <f>'Country equity risk premiums'!A199</f>
        <v>Europe</v>
      </c>
      <c r="H26" s="230">
        <v>1646</v>
      </c>
      <c r="I26" s="24">
        <f>'Country equity risk premiums'!B199</f>
        <v>6.3499442653654425E-2</v>
      </c>
      <c r="J26" s="123">
        <f t="shared" si="2"/>
        <v>0.2030344147033428</v>
      </c>
      <c r="K26" s="165">
        <f t="shared" si="3"/>
        <v>1.2892572173173206E-2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6.6746172674804469E-2</v>
      </c>
      <c r="J28" s="123">
        <f t="shared" si="2"/>
        <v>0.10941161958801036</v>
      </c>
      <c r="K28" s="165">
        <f t="shared" si="3"/>
        <v>7.302806853651359E-3</v>
      </c>
    </row>
    <row r="29" spans="1:17" s="8" customFormat="1" ht="15" customHeight="1">
      <c r="A29" s="8" t="s">
        <v>194</v>
      </c>
      <c r="B29" s="115">
        <v>0</v>
      </c>
      <c r="G29" s="19" t="str">
        <f>'Country equity risk premiums'!A202</f>
        <v>North America</v>
      </c>
      <c r="H29" s="230">
        <v>5574</v>
      </c>
      <c r="I29" s="24">
        <f>'Country equity risk premiums'!B202</f>
        <v>5.1999999999999998E-2</v>
      </c>
      <c r="J29" s="123">
        <f t="shared" si="2"/>
        <v>0.6875539657086468</v>
      </c>
      <c r="K29" s="165">
        <f t="shared" si="3"/>
        <v>3.5752806216849634E-2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5.5948185243674203E-2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473.69746638636792</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1.3332962399321453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3055.962</v>
      </c>
      <c r="C48" s="122">
        <f>C41+C42+C43</f>
        <v>473.69746638636792</v>
      </c>
      <c r="D48" s="122">
        <f>B36*B37</f>
        <v>0</v>
      </c>
      <c r="E48" s="121">
        <f>SUM(B48:D48)</f>
        <v>3529.659466386368</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0.86579513664208096</v>
      </c>
      <c r="C49" s="123">
        <f>C48/$E$48</f>
        <v>0.13420486335791904</v>
      </c>
      <c r="D49" s="123">
        <f>D48/$E$48</f>
        <v>0</v>
      </c>
      <c r="E49" s="124">
        <f>SUM(B49:D49)</f>
        <v>1</v>
      </c>
      <c r="F49" s="8"/>
    </row>
    <row r="50" spans="1:11" ht="20" thickBot="1">
      <c r="A50" s="19" t="s">
        <v>210</v>
      </c>
      <c r="B50" s="125">
        <f>B12+C45*B15</f>
        <v>9.8513626309294319E-2</v>
      </c>
      <c r="C50" s="123">
        <f>B25*(1-B26)</f>
        <v>2.5817006304205928E-2</v>
      </c>
      <c r="D50" s="126">
        <f>B38/B37</f>
        <v>7.1428571428571425E-2</v>
      </c>
      <c r="E50" s="127">
        <f>B49*B50+C49*C50+D49*D50</f>
        <v>8.8757386354928872E-2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v>30</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12</v>
      </c>
      <c r="C11" s="185" t="s">
        <v>416</v>
      </c>
      <c r="D11" s="185"/>
      <c r="E11" s="185"/>
      <c r="F11" s="185"/>
      <c r="G11" s="185"/>
      <c r="H11" s="185"/>
      <c r="I11" s="185"/>
    </row>
    <row r="12" spans="1:10" s="186" customFormat="1" ht="14">
      <c r="A12" s="187">
        <f>IF((0-A11)&lt;$F$6,IF(A11&gt;-1,,A11-1),)</f>
        <v>-2</v>
      </c>
      <c r="B12" s="188">
        <v>4</v>
      </c>
      <c r="C12" s="185" t="s">
        <v>417</v>
      </c>
      <c r="D12" s="185"/>
      <c r="E12" s="185"/>
      <c r="F12" s="185"/>
      <c r="G12" s="185"/>
      <c r="H12" s="185"/>
      <c r="I12" s="185"/>
    </row>
    <row r="13" spans="1:10" s="186" customFormat="1" ht="14">
      <c r="A13" s="187">
        <f t="shared" ref="A13:A20" si="0">IF((0-A12)&lt;$F$6,IF(A12&gt;-1,,A12-1),)</f>
        <v>-3</v>
      </c>
      <c r="B13" s="188">
        <v>3</v>
      </c>
      <c r="C13" s="185"/>
      <c r="D13" s="185"/>
      <c r="E13" s="185"/>
      <c r="F13" s="185"/>
      <c r="G13" s="185"/>
      <c r="H13" s="185"/>
      <c r="I13" s="185"/>
    </row>
    <row r="14" spans="1:10" s="186" customFormat="1" ht="14">
      <c r="A14" s="187">
        <f t="shared" si="0"/>
        <v>0</v>
      </c>
      <c r="B14" s="188"/>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30</v>
      </c>
      <c r="C24" s="184">
        <f>1</f>
        <v>1</v>
      </c>
      <c r="D24" s="184">
        <f>B24*C24</f>
        <v>30</v>
      </c>
      <c r="E24" s="185"/>
      <c r="F24" s="185"/>
      <c r="G24" s="185"/>
      <c r="H24" s="185"/>
      <c r="I24" s="185"/>
    </row>
    <row r="25" spans="1:9" s="186" customFormat="1" ht="14">
      <c r="A25" s="187">
        <f>A11</f>
        <v>-1</v>
      </c>
      <c r="B25" s="184">
        <f>B11</f>
        <v>12</v>
      </c>
      <c r="C25" s="184">
        <f>IF(A25&lt;0,($F$6+A25)/$F$6,0)</f>
        <v>0.66666666666666663</v>
      </c>
      <c r="D25" s="184">
        <f>B25*C25</f>
        <v>8</v>
      </c>
      <c r="E25" s="192">
        <f t="shared" ref="E25:E34" si="1">IF(A25&lt;0,B25/$F$6,0)</f>
        <v>4</v>
      </c>
      <c r="F25" s="185"/>
      <c r="G25" s="185"/>
      <c r="H25" s="185"/>
      <c r="I25" s="185"/>
    </row>
    <row r="26" spans="1:9" s="186" customFormat="1" ht="14">
      <c r="A26" s="187">
        <f t="shared" ref="A26:B34" si="2">A12</f>
        <v>-2</v>
      </c>
      <c r="B26" s="184">
        <f t="shared" si="2"/>
        <v>4</v>
      </c>
      <c r="C26" s="184">
        <f>IF(A26&lt;0,($F$6+A26)/$F$6,0)</f>
        <v>0.33333333333333331</v>
      </c>
      <c r="D26" s="184">
        <f t="shared" ref="D26:D34" si="3">B26*C26</f>
        <v>1.3333333333333333</v>
      </c>
      <c r="E26" s="192">
        <f t="shared" si="1"/>
        <v>1.3333333333333333</v>
      </c>
      <c r="F26" s="185"/>
      <c r="G26" s="185"/>
      <c r="H26" s="185"/>
      <c r="I26" s="185"/>
    </row>
    <row r="27" spans="1:9" s="186" customFormat="1" ht="14">
      <c r="A27" s="187">
        <f t="shared" si="2"/>
        <v>-3</v>
      </c>
      <c r="B27" s="184">
        <f t="shared" si="2"/>
        <v>3</v>
      </c>
      <c r="C27" s="184">
        <f>IF(A27&lt;0,($F$6+A27)/$F$6,0)</f>
        <v>0</v>
      </c>
      <c r="D27" s="184">
        <f t="shared" si="3"/>
        <v>0</v>
      </c>
      <c r="E27" s="192">
        <f t="shared" si="1"/>
        <v>1</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39.333333333333336</v>
      </c>
      <c r="E35" s="25">
        <f>SUM(E25:E34)</f>
        <v>6.333333333333333</v>
      </c>
    </row>
    <row r="36" spans="1:9" ht="13" thickBot="1"/>
    <row r="37" spans="1:9" s="8" customFormat="1" ht="15" thickBot="1">
      <c r="A37" s="8" t="s">
        <v>423</v>
      </c>
      <c r="D37" s="195">
        <f>E35</f>
        <v>6.333333333333333</v>
      </c>
    </row>
    <row r="38" spans="1:9" s="8" customFormat="1" ht="15" thickBot="1"/>
    <row r="39" spans="1:9" s="8" customFormat="1" ht="14">
      <c r="A39" s="8" t="s">
        <v>424</v>
      </c>
      <c r="D39" s="196">
        <f>F7-D37</f>
        <v>23.666666666666668</v>
      </c>
      <c r="E39" s="8" t="s">
        <v>425</v>
      </c>
    </row>
    <row r="40" spans="1:9" ht="14">
      <c r="A40" t="s">
        <v>426</v>
      </c>
      <c r="D40" s="197">
        <f>D39*'Input sheet'!B22</f>
        <v>5.206666666666667</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3.309872603103324E-2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208.72545340213941</v>
      </c>
    </row>
    <row r="23" spans="1:7" s="8" customFormat="1" ht="14">
      <c r="A23" s="19">
        <f t="shared" ref="A23:B26" si="0">A8</f>
        <v>2</v>
      </c>
      <c r="B23" s="28">
        <f t="shared" si="0"/>
        <v>185.90199999999999</v>
      </c>
      <c r="C23" s="9">
        <f>B23/(1+$C$15)^A23</f>
        <v>174.18085181814169</v>
      </c>
    </row>
    <row r="24" spans="1:7" s="8" customFormat="1" ht="14">
      <c r="A24" s="19">
        <f t="shared" si="0"/>
        <v>3</v>
      </c>
      <c r="B24" s="28">
        <f t="shared" si="0"/>
        <v>152.512</v>
      </c>
      <c r="C24" s="9">
        <f>B24/(1+$C$15)^A24</f>
        <v>138.31794830617426</v>
      </c>
    </row>
    <row r="25" spans="1:7" s="8" customFormat="1" ht="14">
      <c r="A25" s="19">
        <f t="shared" si="0"/>
        <v>4</v>
      </c>
      <c r="B25" s="28">
        <f t="shared" si="0"/>
        <v>129.67500000000001</v>
      </c>
      <c r="C25" s="9">
        <f>B25/(1+$C$15)^A25</f>
        <v>113.83844445219522</v>
      </c>
    </row>
    <row r="26" spans="1:7" s="8" customFormat="1" ht="14">
      <c r="A26" s="19">
        <f t="shared" si="0"/>
        <v>5</v>
      </c>
      <c r="B26" s="28">
        <f t="shared" si="0"/>
        <v>98.319000000000003</v>
      </c>
      <c r="C26" s="9">
        <f>B26/(1+$C$15)^A26</f>
        <v>83.546511917941743</v>
      </c>
    </row>
    <row r="27" spans="1:7" s="8" customFormat="1" ht="15" thickBot="1">
      <c r="A27" s="36" t="str">
        <f>A12</f>
        <v>6 and beyond</v>
      </c>
      <c r="B27" s="37">
        <f>IF(B12&gt;0,IF(D18&gt;0,B12/D18,B12),0)</f>
        <v>218.482</v>
      </c>
      <c r="C27" s="38">
        <f>IF(D18&gt;0,(B27*(1-(1+C15)^(-D18))/C15)/(1+$C$15)^5,B27/(1+C15)^6)</f>
        <v>179.70688105407172</v>
      </c>
      <c r="D27" s="8" t="s">
        <v>131</v>
      </c>
    </row>
    <row r="28" spans="1:7" s="8" customFormat="1" ht="15" thickBot="1">
      <c r="A28" s="32" t="s">
        <v>132</v>
      </c>
      <c r="B28" s="39"/>
      <c r="C28" s="40">
        <f>SUM(C22:C27)</f>
        <v>898.31609095066392</v>
      </c>
    </row>
    <row r="29" spans="1:7" s="8" customFormat="1" ht="14"/>
    <row r="30" spans="1:7" s="8" customFormat="1" ht="14">
      <c r="A30" s="15" t="s">
        <v>133</v>
      </c>
    </row>
    <row r="31" spans="1:7" s="8" customFormat="1" ht="15" thickBot="1">
      <c r="A31" s="8" t="s">
        <v>134</v>
      </c>
      <c r="F31" s="38">
        <f>C28/(5+D18)</f>
        <v>149.71934849177731</v>
      </c>
      <c r="G31" s="8" t="s">
        <v>135</v>
      </c>
    </row>
    <row r="32" spans="1:7" s="8" customFormat="1" ht="15" thickBot="1">
      <c r="A32" s="8" t="s">
        <v>136</v>
      </c>
      <c r="F32" s="81">
        <f>E4-F31</f>
        <v>108.88065150822271</v>
      </c>
      <c r="G32" s="8" t="s">
        <v>138</v>
      </c>
    </row>
    <row r="33" spans="1:7" s="8" customFormat="1" ht="15" thickBot="1">
      <c r="A33" s="8" t="s">
        <v>137</v>
      </c>
      <c r="F33" s="41">
        <f>C28</f>
        <v>898.31609095066392</v>
      </c>
      <c r="G33" s="8" t="s">
        <v>139</v>
      </c>
    </row>
    <row r="34" spans="1:7" ht="14">
      <c r="A34" s="8" t="s">
        <v>498</v>
      </c>
      <c r="F34" s="241">
        <f>C28/(5+D18)</f>
        <v>149.71934849177731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292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20</v>
      </c>
      <c r="G6" s="8" t="s">
        <v>221</v>
      </c>
      <c r="H6" s="8"/>
      <c r="I6" s="8"/>
      <c r="J6" s="8"/>
    </row>
    <row r="7" spans="1:10" s="131" customFormat="1" ht="15" thickBot="1">
      <c r="A7" s="8" t="s">
        <v>236</v>
      </c>
      <c r="B7" s="8"/>
      <c r="C7" s="8"/>
      <c r="D7" s="8"/>
      <c r="E7" s="8"/>
      <c r="F7" s="139">
        <f>'Input sheet'!B29</f>
        <v>0.02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14.6</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5.5987260310332385E-3</v>
      </c>
      <c r="F12" s="16"/>
    </row>
    <row r="13" spans="1:10" s="8" customFormat="1" ht="15" thickBot="1">
      <c r="A13" s="8" t="s">
        <v>226</v>
      </c>
      <c r="D13" s="143">
        <f>F7+D11+D12</f>
        <v>3.309872603103324E-2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2020-01-12T01:08:07Z</dcterms:modified>
</cp:coreProperties>
</file>