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834E0838-EE9C-6E49-BB40-ED2493F6A68B}" xr6:coauthVersionLast="45" xr6:coauthVersionMax="45" xr10:uidLastSave="{00000000-0000-0000-0000-000000000000}"/>
  <bookViews>
    <workbookView xWindow="-280" yWindow="90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s="1"/>
  <c r="G39" i="28"/>
  <c r="E2" i="24"/>
  <c r="E4" i="24"/>
  <c r="B22" i="18"/>
  <c r="A22" i="18"/>
  <c r="B23" i="18"/>
  <c r="A23" i="18"/>
  <c r="B24" i="18"/>
  <c r="A24" i="18"/>
  <c r="B25" i="18"/>
  <c r="A25" i="18"/>
  <c r="B26" i="18"/>
  <c r="A26" i="18"/>
  <c r="D18" i="18"/>
  <c r="B27" i="18" s="1"/>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7" i="19"/>
  <c r="K7" i="19" s="1"/>
  <c r="J8" i="19"/>
  <c r="K8" i="19" s="1"/>
  <c r="J9" i="19"/>
  <c r="K9" i="19" s="1"/>
  <c r="J10" i="19"/>
  <c r="K10" i="19" s="1"/>
  <c r="J11" i="19"/>
  <c r="K11" i="19" s="1"/>
  <c r="J12" i="19"/>
  <c r="K12" i="19" s="1"/>
  <c r="J13" i="19"/>
  <c r="K13" i="19" s="1"/>
  <c r="J16" i="19"/>
  <c r="K16"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A13" i="25" l="1"/>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B25" i="13" l="1"/>
  <c r="D34" i="28" s="1"/>
  <c r="F6" i="20"/>
  <c r="B33" i="19" l="1"/>
  <c r="C43" i="19" s="1"/>
  <c r="F5" i="20"/>
  <c r="D9" i="20" s="1"/>
  <c r="D10" i="20" s="1"/>
  <c r="D11" i="20" l="1"/>
  <c r="D13" i="20" s="1"/>
  <c r="B25" i="19" s="1"/>
  <c r="C50" i="19" l="1"/>
  <c r="C15" i="18"/>
  <c r="C42" i="19"/>
  <c r="C44" i="19" s="1"/>
  <c r="C41" i="19"/>
  <c r="C48" i="19" l="1"/>
  <c r="C45" i="19" s="1"/>
  <c r="B50" i="19" s="1"/>
  <c r="C27" i="18"/>
  <c r="C26" i="18"/>
  <c r="C24" i="18"/>
  <c r="C23" i="18"/>
  <c r="C22" i="18"/>
  <c r="C25" i="18"/>
  <c r="E48" i="19" l="1"/>
  <c r="C49" i="19" s="1"/>
  <c r="C28" i="18"/>
  <c r="D49" i="19" l="1"/>
  <c r="B49" i="19"/>
  <c r="F34" i="18"/>
  <c r="F33" i="18"/>
  <c r="B39" i="13" s="1"/>
  <c r="I25" i="11" s="1"/>
  <c r="F31" i="18"/>
  <c r="F32" i="18" s="1"/>
  <c r="B5" i="13" s="1"/>
  <c r="E49" i="19" l="1"/>
  <c r="E50" i="19"/>
  <c r="B30" i="11" s="1"/>
  <c r="C12" i="13" s="1"/>
  <c r="H28" i="29" s="1"/>
  <c r="B40" i="29" s="1"/>
  <c r="C40" i="29" s="1"/>
  <c r="B7" i="13"/>
  <c r="B4" i="13"/>
  <c r="B27" i="11"/>
  <c r="G15" i="29"/>
  <c r="B2" i="12"/>
  <c r="C14" i="28" l="1"/>
  <c r="D12" i="13"/>
  <c r="E12" i="13" s="1"/>
  <c r="C13" i="13"/>
  <c r="C38" i="13"/>
  <c r="D12" i="28"/>
  <c r="D2" i="29"/>
  <c r="E2" i="29" s="1"/>
  <c r="B10" i="28"/>
  <c r="C10" i="28" s="1"/>
  <c r="I24" i="11"/>
  <c r="I26" i="11"/>
  <c r="B40" i="13"/>
  <c r="B13" i="28" s="1"/>
  <c r="H2" i="29"/>
  <c r="B15" i="29" s="1"/>
  <c r="H15" i="29" s="1"/>
  <c r="D13" i="13" l="1"/>
  <c r="E13" i="13" s="1"/>
  <c r="H29" i="29"/>
  <c r="B41" i="29" s="1"/>
  <c r="C41" i="29" s="1"/>
  <c r="G2" i="29"/>
  <c r="C4" i="13"/>
  <c r="G4" i="13"/>
  <c r="H4" i="13"/>
  <c r="J4" i="13"/>
  <c r="I4" i="13"/>
  <c r="F4" i="13"/>
  <c r="L4" i="13"/>
  <c r="D4" i="13"/>
  <c r="E4" i="13"/>
  <c r="K4" i="13"/>
  <c r="F12" i="13"/>
  <c r="H30" i="29"/>
  <c r="B42" i="29" s="1"/>
  <c r="D38" i="13"/>
  <c r="C8" i="13"/>
  <c r="D16" i="29"/>
  <c r="E16" i="29" s="1"/>
  <c r="G16" i="29" s="1"/>
  <c r="C42" i="29" l="1"/>
  <c r="D6" i="29"/>
  <c r="E6" i="29" s="1"/>
  <c r="C20" i="28"/>
  <c r="D20" i="28" s="1"/>
  <c r="F5" i="13"/>
  <c r="D5" i="13"/>
  <c r="D4" i="29"/>
  <c r="E4" i="29" s="1"/>
  <c r="C18" i="28"/>
  <c r="D18" i="28" s="1"/>
  <c r="G12" i="13"/>
  <c r="H31" i="29"/>
  <c r="B43" i="29" s="1"/>
  <c r="C43" i="29" s="1"/>
  <c r="J5" i="13"/>
  <c r="C24" i="28"/>
  <c r="D24" i="28" s="1"/>
  <c r="D10" i="29"/>
  <c r="E10" i="29" s="1"/>
  <c r="M4" i="13"/>
  <c r="L5" i="13"/>
  <c r="B5" i="12" s="1"/>
  <c r="C26" i="28"/>
  <c r="D26" i="28" s="1"/>
  <c r="D12" i="29"/>
  <c r="E12" i="29" s="1"/>
  <c r="C23" i="28"/>
  <c r="D23" i="28" s="1"/>
  <c r="I5" i="13"/>
  <c r="D9" i="29"/>
  <c r="E9" i="29" s="1"/>
  <c r="F13" i="13"/>
  <c r="D8" i="29"/>
  <c r="E8" i="29" s="1"/>
  <c r="H5" i="13"/>
  <c r="C22" i="28"/>
  <c r="D22" i="28" s="1"/>
  <c r="F17" i="28"/>
  <c r="C39" i="13"/>
  <c r="D17" i="29"/>
  <c r="E17" i="29" s="1"/>
  <c r="G17" i="29" s="1"/>
  <c r="D8" i="13"/>
  <c r="F18" i="28" s="1"/>
  <c r="E38" i="13"/>
  <c r="K5" i="13"/>
  <c r="D11" i="29"/>
  <c r="E11" i="29" s="1"/>
  <c r="C25" i="28"/>
  <c r="D25" i="28" s="1"/>
  <c r="C21" i="28"/>
  <c r="D21" i="28" s="1"/>
  <c r="D7" i="29"/>
  <c r="E7" i="29" s="1"/>
  <c r="G5" i="13"/>
  <c r="C19" i="28"/>
  <c r="D19" i="28" s="1"/>
  <c r="D5" i="29"/>
  <c r="E5" i="29" s="1"/>
  <c r="E5" i="13"/>
  <c r="C17" i="28"/>
  <c r="D17" i="28" s="1"/>
  <c r="D3" i="29"/>
  <c r="E3" i="29" s="1"/>
  <c r="C5" i="13"/>
  <c r="D39" i="13" l="1"/>
  <c r="C7" i="13"/>
  <c r="C10" i="13"/>
  <c r="F3" i="29" s="1"/>
  <c r="H12" i="13"/>
  <c r="H32" i="29"/>
  <c r="B44" i="29" s="1"/>
  <c r="C44" i="29" s="1"/>
  <c r="F10" i="28"/>
  <c r="D10" i="28" s="1"/>
  <c r="C27" i="28"/>
  <c r="D27" i="28" s="1"/>
  <c r="M5" i="13"/>
  <c r="D18" i="29"/>
  <c r="E18" i="29" s="1"/>
  <c r="G18" i="29" s="1"/>
  <c r="F38" i="13"/>
  <c r="E8" i="13"/>
  <c r="F19" i="28" s="1"/>
  <c r="G13" i="13"/>
  <c r="E39" i="13" l="1"/>
  <c r="D19" i="29"/>
  <c r="E19" i="29" s="1"/>
  <c r="G19" i="29" s="1"/>
  <c r="F8" i="13"/>
  <c r="F20" i="28" s="1"/>
  <c r="G38" i="13"/>
  <c r="H33" i="29"/>
  <c r="B45" i="29" s="1"/>
  <c r="C45" i="29" s="1"/>
  <c r="I12" i="13"/>
  <c r="D10" i="13"/>
  <c r="M7" i="13"/>
  <c r="E27" i="28" s="1"/>
  <c r="N5" i="13"/>
  <c r="J32" i="11"/>
  <c r="D7" i="13"/>
  <c r="H13" i="13"/>
  <c r="H3" i="29"/>
  <c r="C9" i="13"/>
  <c r="C14" i="13" s="1"/>
  <c r="C40" i="13"/>
  <c r="E17" i="28"/>
  <c r="G17" i="28" s="1"/>
  <c r="F39" i="13" l="1"/>
  <c r="B16" i="29"/>
  <c r="G3" i="29"/>
  <c r="F4" i="29"/>
  <c r="E10" i="13"/>
  <c r="E7" i="13"/>
  <c r="I13" i="13"/>
  <c r="H34" i="29"/>
  <c r="B46" i="29" s="1"/>
  <c r="C46" i="29" s="1"/>
  <c r="J12" i="13"/>
  <c r="H4" i="29"/>
  <c r="E18" i="28"/>
  <c r="G18" i="28" s="1"/>
  <c r="D9" i="13"/>
  <c r="D14" i="13" s="1"/>
  <c r="D40" i="13"/>
  <c r="H38" i="13"/>
  <c r="D20" i="29"/>
  <c r="E20" i="29" s="1"/>
  <c r="G20" i="29" s="1"/>
  <c r="G8" i="13"/>
  <c r="F21" i="28" s="1"/>
  <c r="J13" i="13" l="1"/>
  <c r="F5" i="29"/>
  <c r="F10" i="13"/>
  <c r="F7" i="13"/>
  <c r="G39" i="13"/>
  <c r="E40" i="13"/>
  <c r="H5" i="29"/>
  <c r="E19" i="28"/>
  <c r="G19" i="28" s="1"/>
  <c r="E9" i="13"/>
  <c r="E14" i="13" s="1"/>
  <c r="D21" i="29"/>
  <c r="E21" i="29" s="1"/>
  <c r="G21" i="29" s="1"/>
  <c r="H8" i="13"/>
  <c r="F22" i="28" s="1"/>
  <c r="I38" i="13"/>
  <c r="B17" i="29"/>
  <c r="G4" i="29"/>
  <c r="K12" i="13"/>
  <c r="H35" i="29"/>
  <c r="B47" i="29" s="1"/>
  <c r="C47" i="29" s="1"/>
  <c r="F16" i="29"/>
  <c r="D40" i="29" s="1"/>
  <c r="F40" i="29" s="1"/>
  <c r="H16" i="29"/>
  <c r="H39" i="13" l="1"/>
  <c r="B18" i="29"/>
  <c r="G5" i="29"/>
  <c r="H17" i="29"/>
  <c r="F17" i="29"/>
  <c r="D41" i="29" s="1"/>
  <c r="F41" i="29" s="1"/>
  <c r="H36" i="29"/>
  <c r="B48" i="29" s="1"/>
  <c r="C48" i="29" s="1"/>
  <c r="L12" i="13"/>
  <c r="K13" i="13"/>
  <c r="F6" i="29"/>
  <c r="G7" i="13"/>
  <c r="G10" i="13"/>
  <c r="D22" i="29"/>
  <c r="E22" i="29" s="1"/>
  <c r="G22" i="29" s="1"/>
  <c r="J38" i="13"/>
  <c r="I8" i="13"/>
  <c r="F23" i="28" s="1"/>
  <c r="F9" i="13"/>
  <c r="F14" i="13" s="1"/>
  <c r="F40" i="13"/>
  <c r="E20" i="28"/>
  <c r="G20" i="28" s="1"/>
  <c r="H6" i="29"/>
  <c r="L13" i="13" l="1"/>
  <c r="B8" i="12" s="1"/>
  <c r="I39" i="13"/>
  <c r="F7" i="29"/>
  <c r="H7" i="13"/>
  <c r="H10" i="13"/>
  <c r="H37" i="29"/>
  <c r="B49" i="29" s="1"/>
  <c r="C49" i="29" s="1"/>
  <c r="M40" i="13"/>
  <c r="K38" i="13"/>
  <c r="D23" i="29"/>
  <c r="E23" i="29" s="1"/>
  <c r="G23" i="29" s="1"/>
  <c r="J8" i="13"/>
  <c r="B19" i="29"/>
  <c r="G6" i="29"/>
  <c r="E21" i="28"/>
  <c r="G21" i="28" s="1"/>
  <c r="G40" i="13"/>
  <c r="H7" i="29"/>
  <c r="G9" i="13"/>
  <c r="G14" i="13" s="1"/>
  <c r="F18" i="29"/>
  <c r="D42" i="29" s="1"/>
  <c r="F42" i="29" s="1"/>
  <c r="H18" i="29"/>
  <c r="L38" i="13" l="1"/>
  <c r="D24" i="29"/>
  <c r="E24" i="29" s="1"/>
  <c r="G24" i="29" s="1"/>
  <c r="K8" i="13"/>
  <c r="F25" i="28" s="1"/>
  <c r="B20" i="29"/>
  <c r="G7" i="29"/>
  <c r="F13" i="28"/>
  <c r="F12" i="28"/>
  <c r="M8" i="13"/>
  <c r="I10" i="13"/>
  <c r="I7" i="13"/>
  <c r="F8" i="29"/>
  <c r="H8" i="29"/>
  <c r="H9" i="13"/>
  <c r="H14" i="13" s="1"/>
  <c r="H40" i="13"/>
  <c r="E22" i="28"/>
  <c r="G22" i="28" s="1"/>
  <c r="F19" i="29"/>
  <c r="D43" i="29" s="1"/>
  <c r="F43" i="29" s="1"/>
  <c r="H19" i="29"/>
  <c r="F24" i="28"/>
  <c r="J39" i="13"/>
  <c r="B30" i="13"/>
  <c r="K39" i="13" l="1"/>
  <c r="B21" i="29"/>
  <c r="G8" i="29"/>
  <c r="F27" i="28"/>
  <c r="G27" i="28" s="1"/>
  <c r="M9" i="13"/>
  <c r="B16" i="13" s="1"/>
  <c r="B18" i="13" s="1"/>
  <c r="F20" i="29"/>
  <c r="D44" i="29" s="1"/>
  <c r="F44" i="29" s="1"/>
  <c r="H20" i="29"/>
  <c r="I9" i="13"/>
  <c r="I14" i="13" s="1"/>
  <c r="H9" i="29"/>
  <c r="I40" i="13"/>
  <c r="E23" i="28"/>
  <c r="G23" i="28" s="1"/>
  <c r="F9" i="29"/>
  <c r="J10" i="13"/>
  <c r="J7" i="13"/>
  <c r="D25" i="29"/>
  <c r="E25" i="29" s="1"/>
  <c r="G25" i="29" s="1"/>
  <c r="L8" i="13"/>
  <c r="D37" i="28"/>
  <c r="H10" i="29" l="1"/>
  <c r="J40" i="13"/>
  <c r="J9" i="13"/>
  <c r="J14" i="13" s="1"/>
  <c r="E24" i="28"/>
  <c r="G24" i="28" s="1"/>
  <c r="K7" i="13"/>
  <c r="F10" i="29"/>
  <c r="K10" i="13"/>
  <c r="F26" i="28"/>
  <c r="N8" i="13"/>
  <c r="L39" i="13"/>
  <c r="B3" i="12" s="1"/>
  <c r="B4" i="12" s="1"/>
  <c r="B6" i="12" s="1"/>
  <c r="D13" i="28" s="1"/>
  <c r="D29" i="28"/>
  <c r="E49" i="29"/>
  <c r="B19" i="13"/>
  <c r="B22" i="29"/>
  <c r="G9" i="29"/>
  <c r="F21" i="29"/>
  <c r="D45" i="29" s="1"/>
  <c r="F45" i="29" s="1"/>
  <c r="H21" i="29"/>
  <c r="H11" i="29" l="1"/>
  <c r="K40" i="13"/>
  <c r="K9" i="13"/>
  <c r="K14" i="13" s="1"/>
  <c r="E25" i="28"/>
  <c r="G25" i="28" s="1"/>
  <c r="F22" i="29"/>
  <c r="D46" i="29" s="1"/>
  <c r="F46" i="29" s="1"/>
  <c r="H22" i="29"/>
  <c r="D30" i="28"/>
  <c r="L10" i="13"/>
  <c r="F11" i="29"/>
  <c r="L7" i="13"/>
  <c r="G10" i="29"/>
  <c r="B23" i="29"/>
  <c r="H23" i="29" l="1"/>
  <c r="F23" i="29"/>
  <c r="D47" i="29" s="1"/>
  <c r="F47" i="29" s="1"/>
  <c r="L9" i="13"/>
  <c r="L14" i="13" s="1"/>
  <c r="B20" i="13" s="1"/>
  <c r="H12" i="29"/>
  <c r="E26" i="28"/>
  <c r="G26" i="28" s="1"/>
  <c r="L40" i="13"/>
  <c r="M10" i="13"/>
  <c r="F12" i="29"/>
  <c r="B24" i="29"/>
  <c r="G11" i="29"/>
  <c r="J33" i="11" l="1"/>
  <c r="B7" i="12"/>
  <c r="G12" i="29"/>
  <c r="B25" i="29"/>
  <c r="D31" i="28"/>
  <c r="B21" i="13"/>
  <c r="H24" i="29"/>
  <c r="F24" i="29"/>
  <c r="D48" i="29" s="1"/>
  <c r="F48" i="29" s="1"/>
  <c r="B23" i="13" l="1"/>
  <c r="B24" i="13" s="1"/>
  <c r="B29" i="13" s="1"/>
  <c r="B31" i="13" s="1"/>
  <c r="B33" i="13" s="1"/>
  <c r="D32" i="28"/>
  <c r="F25" i="29"/>
  <c r="D49" i="29" s="1"/>
  <c r="F49" i="29" s="1"/>
  <c r="F50" i="29" s="1"/>
  <c r="H25" i="29"/>
  <c r="D33" i="28" l="1"/>
  <c r="D36" i="28" s="1"/>
  <c r="D39" i="28" s="1"/>
  <c r="B35" i="13"/>
  <c r="B9" i="12"/>
  <c r="B10" i="12" s="1"/>
  <c r="B24" i="14"/>
  <c r="B23" i="14"/>
  <c r="D27" i="14"/>
  <c r="C26" i="14"/>
  <c r="C15" i="14"/>
  <c r="B20" i="14"/>
  <c r="B21"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tc={507AD798-C9A8-D444-BC40-DF622B5E1F81}</author>
  </authors>
  <commentList>
    <comment ref="C4" authorId="0" shapeId="0" xr:uid="{00000000-0006-0000-0000-000001000000}">
      <text>
        <r>
          <rPr>
            <b/>
            <sz val="9"/>
            <color rgb="FF000000"/>
            <rFont val="Geneva"/>
            <family val="2"/>
          </rPr>
          <t>Aswath Damodaran:</t>
        </r>
        <r>
          <rPr>
            <sz val="9"/>
            <color rgb="FF000000"/>
            <rFont val="Geneva"/>
            <family val="2"/>
          </rPr>
          <t xml:space="preserve">
</t>
        </r>
        <r>
          <rPr>
            <sz val="9"/>
            <color rgb="FF000000"/>
            <rFont val="Geneva"/>
            <family val="2"/>
          </rPr>
          <t>If you are using trailing 12-month data, it is best if the last year is the 12-month period just prior to the one that you are using. Thus, if you are looking at June 2011-June 2012, your trailing 12 month for the income statement numbers will be June 2010-June 2011 and your balance sheet numbers should be as of June 2011.</t>
        </r>
      </text>
    </comment>
    <comment ref="B6" authorId="0" shapeId="0" xr:uid="{00000000-0006-0000-0000-000002000000}">
      <text>
        <r>
          <rPr>
            <b/>
            <sz val="9"/>
            <color rgb="FF000000"/>
            <rFont val="Geneva"/>
            <family val="2"/>
          </rPr>
          <t>Aswath Damodaran:</t>
        </r>
        <r>
          <rPr>
            <sz val="9"/>
            <color rgb="FF000000"/>
            <rFont val="Geneva"/>
            <family val="2"/>
          </rPr>
          <t xml:space="preserve">
</t>
        </r>
        <r>
          <rPr>
            <sz val="9"/>
            <color rgb="FF000000"/>
            <rFont val="Geneva"/>
            <family val="2"/>
          </rPr>
          <t>If you are in multiple businesses, you can construct your own weighted averages using the industry average table from this spreadsheet and your company's business breakdown.</t>
        </r>
      </text>
    </comment>
    <comment ref="D7" authorId="0" shapeId="0" xr:uid="{00000000-0006-0000-0000-000003000000}">
      <text>
        <r>
          <rPr>
            <b/>
            <sz val="10"/>
            <color indexed="81"/>
            <rFont val="Calibri"/>
            <family val="2"/>
          </rPr>
          <t>Aswath Damodaran:</t>
        </r>
        <r>
          <rPr>
            <sz val="10"/>
            <color indexed="81"/>
            <rFont val="Calibri"/>
            <family val="2"/>
          </rPr>
          <t xml:space="preserve">
If you have trailing 12 month numbers, the last year's numbers may be only 3 months, 6 months or 9 months ago.</t>
        </r>
      </text>
    </comment>
    <comment ref="B8" authorId="0" shapeId="0" xr:uid="{00000000-0006-0000-0000-000004000000}">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C8" authorId="0" shapeId="0" xr:uid="{F2EC277E-B167-344B-B4A7-277A21B21EB9}">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B9" authorId="0" shapeId="0" xr:uid="{00000000-0006-0000-0000-000006000000}">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C9" authorId="0" shapeId="0" xr:uid="{6B8FF3A8-6A8D-E449-BB08-1A5B64062A87}">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B11" authorId="0" shapeId="0" xr:uid="{00000000-0006-0000-0000-000008000000}">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C11" authorId="0" shapeId="0" xr:uid="{79A28BD0-5606-C54D-A01C-43183E75FA68}">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B12" authorId="0" shapeId="0" xr:uid="{00000000-0006-0000-0000-00000A000000}">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C12" authorId="0" shapeId="0" xr:uid="{FC325A5C-5437-6049-82A9-0F560BF5391C}">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B15" authorId="0" shapeId="0" xr:uid="{00000000-0006-0000-0000-00000C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16" authorId="0" shapeId="0" xr:uid="{00000000-0006-0000-0000-00000E000000}">
      <text>
        <r>
          <rPr>
            <b/>
            <sz val="9"/>
            <color rgb="FF000000"/>
            <rFont val="Geneva"/>
            <family val="2"/>
          </rPr>
          <t>Aswath Damodaran:</t>
        </r>
        <r>
          <rPr>
            <sz val="9"/>
            <color rgb="FF000000"/>
            <rFont val="Geneva"/>
            <family val="2"/>
          </rPr>
          <t xml:space="preserve">
</t>
        </r>
        <r>
          <rPr>
            <sz val="9"/>
            <color rgb="FF000000"/>
            <rFont val="Geneva"/>
            <family val="2"/>
          </rPr>
          <t>Enter the market value of those non-cash assets whose earnings are (and will never) show up as part of operating income. The most common non-operating assets are minority holdings in other companies (which are not consoldiated). You can find the book value of these holdings on the balance sheet, but see if you can convert to market value. (I apply a price to book ratio, based on the sector that the company is in to the book value).</t>
        </r>
      </text>
    </comment>
    <comment ref="B17" authorId="0" shapeId="0" xr:uid="{00000000-0006-0000-0000-00000F000000}">
      <text>
        <r>
          <rPr>
            <b/>
            <sz val="9"/>
            <color rgb="FF000000"/>
            <rFont val="Geneva"/>
            <family val="2"/>
          </rPr>
          <t>Aswath Damodaran:</t>
        </r>
        <r>
          <rPr>
            <sz val="9"/>
            <color rgb="FF000000"/>
            <rFont val="Geneva"/>
            <family val="2"/>
          </rPr>
          <t xml:space="preserve">
</t>
        </r>
        <r>
          <rPr>
            <sz val="9"/>
            <color rgb="FF000000"/>
            <rFont val="Geneva"/>
            <family val="2"/>
          </rPr>
          <t>Enter the "market" value of minority interests. This is a uniquely accounting item and will be on the liability side of your company's balance sheet. It reflects the requirement that if you own more than 50% of another company or have effective control of it, you have to consolidate that company's statements with yours. Thus, you count 100% of that subsidiaries assets, revenues and operating income with your company, even if you own only 60%. The minority interest reflects the book value of the 40% of the equity in the subsidiary that does not belong to you. Again, it is best if you can convert the book value to a market value by applying the price to book ratio for the sector in which the subsidiary operates</t>
        </r>
      </text>
    </comment>
    <comment ref="B18" authorId="1" shapeId="0" xr:uid="{507AD798-C9A8-D444-BC40-DF622B5E1F81}">
      <text>
        <t>[Threaded comment]
Your version of Excel allows you to read this threaded comment; however, any edits to it will get removed if the file is opened in a newer version of Excel. Learn more: https://go.microsoft.com/fwlink/?linkid=870924
Comment:
    Pension, Health care and post retirement obligations.</t>
      </text>
    </comment>
    <comment ref="B19" authorId="0" shapeId="0" xr:uid="{00000000-0006-0000-0000-000010000000}">
      <text>
        <r>
          <rPr>
            <b/>
            <sz val="9"/>
            <color rgb="FF000000"/>
            <rFont val="Geneva"/>
            <family val="2"/>
          </rPr>
          <t>Aswath Damodaran:</t>
        </r>
        <r>
          <rPr>
            <sz val="9"/>
            <color rgb="FF000000"/>
            <rFont val="Geneva"/>
            <family val="2"/>
          </rPr>
          <t xml:space="preserve">
</t>
        </r>
        <r>
          <rPr>
            <sz val="9"/>
            <color rgb="FF000000"/>
            <rFont val="Geneva"/>
            <family val="2"/>
          </rPr>
          <t>Enter the most recent update you have on the number of shares. If you have different classes of shares, aggregate them all and enter one number. Count restricted stock units (RSUs) as shares but don't count shares underlying employee options.</t>
        </r>
      </text>
    </comment>
    <comment ref="B20" authorId="0" shapeId="0" xr:uid="{00000000-0006-0000-0000-000011000000}">
      <text>
        <r>
          <rPr>
            <b/>
            <sz val="9"/>
            <color rgb="FF000000"/>
            <rFont val="Geneva"/>
            <family val="2"/>
          </rPr>
          <t>Aswath Damodaran:</t>
        </r>
        <r>
          <rPr>
            <sz val="9"/>
            <color rgb="FF000000"/>
            <rFont val="Geneva"/>
            <family val="2"/>
          </rPr>
          <t xml:space="preserve">
</t>
        </r>
        <r>
          <rPr>
            <sz val="9"/>
            <color rgb="FF000000"/>
            <rFont val="Geneva"/>
            <family val="2"/>
          </rPr>
          <t xml:space="preserve">Enter the most recent stock price (how about today's?) in here. </t>
        </r>
      </text>
    </comment>
    <comment ref="B21" authorId="0" shapeId="0" xr:uid="{00000000-0006-0000-0000-000012000000}">
      <text>
        <r>
          <rPr>
            <b/>
            <sz val="9"/>
            <color rgb="FF000000"/>
            <rFont val="Geneva"/>
            <family val="2"/>
          </rPr>
          <t>Aswath Damodaran:</t>
        </r>
        <r>
          <rPr>
            <sz val="9"/>
            <color rgb="FF000000"/>
            <rFont val="Geneva"/>
            <family val="2"/>
          </rPr>
          <t xml:space="preserve">
</t>
        </r>
        <r>
          <rPr>
            <sz val="9"/>
            <color rgb="FF000000"/>
            <rFont val="Geneva"/>
            <family val="2"/>
          </rPr>
          <t xml:space="preserve">Enter your effective (not marginal) tax rate for your firm. You will find this in your company's annual report. If you cannot, you can compute it as follows, from the income statement:
</t>
        </r>
        <r>
          <rPr>
            <sz val="9"/>
            <color rgb="FF000000"/>
            <rFont val="Geneva"/>
            <family val="2"/>
          </rPr>
          <t xml:space="preserve">Effective tax rate = Taxes paid/ Taxable income
</t>
        </r>
        <r>
          <rPr>
            <sz val="9"/>
            <color rgb="FF000000"/>
            <rFont val="Geneva"/>
            <family val="2"/>
          </rPr>
          <t xml:space="preserve">If your effective tax rate varies across years, you can use an average. If the effective tax rate is less than zero, enter zero.
</t>
        </r>
        <r>
          <rPr>
            <sz val="9"/>
            <color rgb="FF000000"/>
            <rFont val="Geneva"/>
            <family val="2"/>
          </rPr>
          <t>If you have a money losing company, don't enter zero but enter the tax rate that you will have when you start making money.</t>
        </r>
      </text>
    </comment>
    <comment ref="B22" authorId="0" shapeId="0" xr:uid="{00000000-0006-0000-0000-000013000000}">
      <text>
        <r>
          <rPr>
            <b/>
            <sz val="9"/>
            <color rgb="FF000000"/>
            <rFont val="Geneva"/>
            <family val="2"/>
          </rPr>
          <t>Aswath Damodaran:</t>
        </r>
        <r>
          <rPr>
            <sz val="9"/>
            <color rgb="FF000000"/>
            <rFont val="Geneva"/>
            <family val="2"/>
          </rPr>
          <t xml:space="preserve">
</t>
        </r>
        <r>
          <rPr>
            <sz val="9"/>
            <color rgb="FF000000"/>
            <rFont val="Geneva"/>
            <family val="2"/>
          </rPr>
          <t>This is a statutory tax rate. I use the tax rate of the country the company is domiciled in. See worksheet embedded in this spreadshseet for country tax rates.</t>
        </r>
      </text>
    </comment>
    <comment ref="B24" authorId="0" shapeId="0" xr:uid="{00000000-0006-0000-0000-000014000000}">
      <text>
        <r>
          <rPr>
            <b/>
            <sz val="9"/>
            <color rgb="FF000000"/>
            <rFont val="Geneva"/>
            <family val="2"/>
          </rPr>
          <t>Aswath Damodaran:</t>
        </r>
        <r>
          <rPr>
            <sz val="9"/>
            <color rgb="FF000000"/>
            <rFont val="Geneva"/>
            <family val="2"/>
          </rPr>
          <t xml:space="preserve">
</t>
        </r>
        <r>
          <rPr>
            <sz val="9"/>
            <color rgb="FF000000"/>
            <rFont val="Geneva"/>
            <family val="2"/>
          </rPr>
          <t xml:space="preserve">I don't have a crystal ball but you should look at 
</t>
        </r>
        <r>
          <rPr>
            <sz val="9"/>
            <color rgb="FF000000"/>
            <rFont val="Geneva"/>
            <family val="2"/>
          </rPr>
          <t xml:space="preserve">a. Revenue growth in your company in recent years
</t>
        </r>
        <r>
          <rPr>
            <sz val="9"/>
            <color rgb="FF000000"/>
            <rFont val="Geneva"/>
            <family val="2"/>
          </rPr>
          <t xml:space="preserve">b. Your company's revenues, relative to the overall market size and larger players in the sector. 
</t>
        </r>
        <r>
          <rPr>
            <sz val="9"/>
            <color rgb="FF000000"/>
            <rFont val="Geneva"/>
            <family val="2"/>
          </rPr>
          <t xml:space="preserve">Suggestion: Check your revenues in year 10 against the overall market and see what market share are you giving your company. Check your company's revenues against other companies in the sector.
</t>
        </r>
        <r>
          <rPr>
            <sz val="9"/>
            <color rgb="FF000000"/>
            <rFont val="Geneva"/>
            <family val="2"/>
          </rPr>
          <t>Note that this number can be negative for a declining firm.</t>
        </r>
      </text>
    </comment>
    <comment ref="B25" authorId="0" shapeId="0" xr:uid="{00000000-0006-0000-0000-000015000000}">
      <text>
        <r>
          <rPr>
            <b/>
            <sz val="9"/>
            <color rgb="FF000000"/>
            <rFont val="Geneva"/>
            <family val="2"/>
          </rPr>
          <t>Aswath Damodaran:</t>
        </r>
        <r>
          <rPr>
            <sz val="9"/>
            <color rgb="FF000000"/>
            <rFont val="Geneva"/>
            <family val="2"/>
          </rPr>
          <t xml:space="preserve">
</t>
        </r>
        <r>
          <rPr>
            <sz val="9"/>
            <color rgb="FF000000"/>
            <rFont val="Geneva"/>
            <family val="2"/>
          </rPr>
          <t xml:space="preserve">You should start by looking at your company's current pre-tax operating margin  but also look at the average for your industry. (You can check my estimates of industry averages in the last worksheet on this spreadsheet.) </t>
        </r>
      </text>
    </comment>
    <comment ref="B26" authorId="0" shapeId="0" xr:uid="{00000000-0006-0000-0000-000016000000}">
      <text>
        <r>
          <rPr>
            <b/>
            <sz val="10"/>
            <color rgb="FF000000"/>
            <rFont val="Calibri"/>
            <family val="2"/>
          </rPr>
          <t>Aswath Damodaran:</t>
        </r>
        <r>
          <rPr>
            <sz val="10"/>
            <color rgb="FF000000"/>
            <rFont val="Calibri"/>
            <family val="2"/>
          </rPr>
          <t xml:space="preserve">
</t>
        </r>
        <r>
          <rPr>
            <sz val="10"/>
            <color rgb="FF000000"/>
            <rFont val="Calibri"/>
            <family val="2"/>
          </rPr>
          <t>This is the forecast year in which your current margin will converge on target.</t>
        </r>
      </text>
    </comment>
    <comment ref="B27" authorId="0" shapeId="0" xr:uid="{00000000-0006-0000-0000-000017000000}">
      <text>
        <r>
          <rPr>
            <b/>
            <sz val="9"/>
            <color rgb="FF000000"/>
            <rFont val="Geneva"/>
            <family val="2"/>
          </rPr>
          <t>Aswath Damodaran:</t>
        </r>
        <r>
          <rPr>
            <sz val="9"/>
            <color rgb="FF000000"/>
            <rFont val="Geneva"/>
            <family val="2"/>
          </rPr>
          <t xml:space="preserve">
</t>
        </r>
        <r>
          <rPr>
            <sz val="9"/>
            <color rgb="FF000000"/>
            <rFont val="Geneva"/>
            <family val="2"/>
          </rPr>
          <t>You are probably wondering what this is but it is how I compute how much you are going to reinvest to keep your business growing in future years. The higher you set this number, the more efficiently you are growing and the higher the value of your growth. Again, look at your company's current number (check on the right). Look at the industry averages as well in the worksheet.</t>
        </r>
      </text>
    </comment>
    <comment ref="B29" authorId="0" shapeId="0" xr:uid="{00000000-0006-0000-0000-000018000000}">
      <text>
        <r>
          <rPr>
            <b/>
            <sz val="9"/>
            <color rgb="FF000000"/>
            <rFont val="Geneva"/>
            <family val="2"/>
          </rPr>
          <t>Aswath Damodaran:</t>
        </r>
        <r>
          <rPr>
            <sz val="9"/>
            <color rgb="FF000000"/>
            <rFont val="Geneva"/>
            <family val="2"/>
          </rPr>
          <t xml:space="preserve">
</t>
        </r>
        <r>
          <rPr>
            <sz val="9"/>
            <color rgb="FF000000"/>
            <rFont val="Geneva"/>
            <family val="2"/>
          </rPr>
          <t>This should be today's long term riskfree rate. If you are working with a currency where the government has default risk, clean up the government bond rate to make it riskfree (by subtracting the default spread for the government).</t>
        </r>
      </text>
    </comment>
    <comment ref="B30" authorId="0" shapeId="0" xr:uid="{00000000-0006-0000-0000-000019000000}">
      <text>
        <r>
          <rPr>
            <b/>
            <sz val="9"/>
            <color rgb="FF000000"/>
            <rFont val="Geneva"/>
            <family val="2"/>
          </rPr>
          <t>Aswath Damodaran:</t>
        </r>
        <r>
          <rPr>
            <sz val="9"/>
            <color rgb="FF000000"/>
            <rFont val="Geneva"/>
            <family val="2"/>
          </rPr>
          <t xml:space="preserve">
</t>
        </r>
        <r>
          <rPr>
            <sz val="9"/>
            <color rgb="FF000000"/>
            <rFont val="Geneva"/>
            <family val="2"/>
          </rPr>
          <t xml:space="preserve">Enter the current cost of capital for your firm. If you don't know what it is, you can use the built-in worksheet to compute it. </t>
        </r>
      </text>
    </comment>
    <comment ref="J31" authorId="0" shapeId="0" xr:uid="{00000000-0006-0000-0000-00001A000000}">
      <text>
        <r>
          <rPr>
            <b/>
            <sz val="10"/>
            <color rgb="FF000000"/>
            <rFont val="Calibri"/>
            <family val="2"/>
          </rPr>
          <t>Aswath Damodaran:</t>
        </r>
        <r>
          <rPr>
            <sz val="10"/>
            <color rgb="FF000000"/>
            <rFont val="Calibri"/>
            <family val="2"/>
          </rPr>
          <t xml:space="preserve">
</t>
        </r>
        <r>
          <rPr>
            <sz val="10"/>
            <color rgb="FF000000"/>
            <rFont val="Calibri"/>
            <family val="2"/>
          </rPr>
          <t>Compare to your total market and check your market share.</t>
        </r>
      </text>
    </comment>
    <comment ref="J32" authorId="0" shapeId="0" xr:uid="{00000000-0006-0000-0000-00001B000000}">
      <text>
        <r>
          <rPr>
            <b/>
            <sz val="10"/>
            <color indexed="81"/>
            <rFont val="Calibri"/>
            <family val="2"/>
          </rPr>
          <t>Aswath Damodaran:</t>
        </r>
        <r>
          <rPr>
            <sz val="10"/>
            <color indexed="81"/>
            <rFont val="Calibri"/>
            <family val="2"/>
          </rPr>
          <t xml:space="preserve">
Determined by your target margin. </t>
        </r>
      </text>
    </comment>
    <comment ref="B33" authorId="0" shapeId="0" xr:uid="{00000000-0006-0000-0000-00001C000000}">
      <text>
        <r>
          <rPr>
            <b/>
            <sz val="9"/>
            <color rgb="FF000000"/>
            <rFont val="Geneva"/>
            <family val="2"/>
          </rPr>
          <t>Aswath Damodaran:</t>
        </r>
        <r>
          <rPr>
            <sz val="9"/>
            <color rgb="FF000000"/>
            <rFont val="Geneva"/>
            <family val="2"/>
          </rPr>
          <t xml:space="preserve">
</t>
        </r>
        <r>
          <rPr>
            <sz val="9"/>
            <color rgb="FF000000"/>
            <rFont val="Geneva"/>
            <family val="2"/>
          </rPr>
          <t>Check your company's annual report or 10K. If it does have options outstanding, enter the total number here (vested and non vested, in the money and out…)</t>
        </r>
      </text>
    </comment>
    <comment ref="J33" authorId="0" shapeId="0" xr:uid="{00000000-0006-0000-0000-00001D000000}">
      <text>
        <r>
          <rPr>
            <b/>
            <sz val="10"/>
            <color indexed="81"/>
            <rFont val="Calibri"/>
            <family val="2"/>
          </rPr>
          <t>Aswath Damodaran:</t>
        </r>
        <r>
          <rPr>
            <sz val="10"/>
            <color indexed="81"/>
            <rFont val="Calibri"/>
            <family val="2"/>
          </rPr>
          <t xml:space="preserve">
Function of both your target margin and your sales to capital ratio.</t>
        </r>
      </text>
    </comment>
    <comment ref="B34" authorId="0" shapeId="0" xr:uid="{00000000-0006-0000-0000-00001E000000}">
      <text>
        <r>
          <rPr>
            <b/>
            <sz val="9"/>
            <color rgb="FF000000"/>
            <rFont val="Geneva"/>
            <family val="2"/>
          </rPr>
          <t>Aswath Damodaran:</t>
        </r>
        <r>
          <rPr>
            <sz val="9"/>
            <color rgb="FF000000"/>
            <rFont val="Geneva"/>
            <family val="2"/>
          </rPr>
          <t xml:space="preserve">
</t>
        </r>
        <r>
          <rPr>
            <sz val="9"/>
            <color rgb="FF000000"/>
            <rFont val="Geneva"/>
            <family val="2"/>
          </rPr>
          <t>Enter the weighted average strike price of your options. (Should be in your 10K or annual report.)</t>
        </r>
      </text>
    </comment>
    <comment ref="B35" authorId="0" shapeId="0" xr:uid="{00000000-0006-0000-0000-00001F000000}">
      <text>
        <r>
          <rPr>
            <b/>
            <sz val="9"/>
            <color rgb="FF000000"/>
            <rFont val="Geneva"/>
            <family val="2"/>
          </rPr>
          <t>Aswath Damodaran:</t>
        </r>
        <r>
          <rPr>
            <sz val="9"/>
            <color rgb="FF000000"/>
            <rFont val="Geneva"/>
            <family val="2"/>
          </rPr>
          <t xml:space="preserve">
</t>
        </r>
        <r>
          <rPr>
            <sz val="9"/>
            <color rgb="FF000000"/>
            <rFont val="Geneva"/>
            <family val="2"/>
          </rPr>
          <t>The weighted average maturity of your options should be reported in your financial statements.</t>
        </r>
      </text>
    </comment>
    <comment ref="B36" authorId="0" shapeId="0" xr:uid="{00000000-0006-0000-0000-000020000000}">
      <text>
        <r>
          <rPr>
            <b/>
            <sz val="9"/>
            <color rgb="FF000000"/>
            <rFont val="Geneva"/>
            <family val="2"/>
          </rPr>
          <t>Aswath Damodaran:</t>
        </r>
        <r>
          <rPr>
            <sz val="9"/>
            <color rgb="FF000000"/>
            <rFont val="Geneva"/>
            <family val="2"/>
          </rPr>
          <t xml:space="preserve">
</t>
        </r>
        <r>
          <rPr>
            <sz val="9"/>
            <color rgb="FF000000"/>
            <rFont val="Geneva"/>
            <family val="2"/>
          </rPr>
          <t>If you have a standard deviation for your stock, enter that number. If not, use the industry average standard deviation from the worksheet.</t>
        </r>
      </text>
    </comment>
    <comment ref="B40" authorId="0" shapeId="0" xr:uid="{00000000-0006-0000-0000-000021000000}">
      <text>
        <r>
          <rPr>
            <b/>
            <sz val="9"/>
            <color rgb="FF000000"/>
            <rFont val="Geneva"/>
            <family val="2"/>
          </rPr>
          <t>Aswath Damodaran:</t>
        </r>
        <r>
          <rPr>
            <sz val="9"/>
            <color rgb="FF000000"/>
            <rFont val="Geneva"/>
            <family val="2"/>
          </rPr>
          <t xml:space="preserve">
</t>
        </r>
        <r>
          <rPr>
            <sz val="9"/>
            <color rgb="FF000000"/>
            <rFont val="Geneva"/>
            <family val="2"/>
          </rPr>
          <t>Mature companies tend to have costs of capital closer to the market average. While the riskfree rate + 4.5% is a close approximation of the average, you can use a slightly higher number (riskfree rate + 6%) for mature companies in riskier businesses and a slightly lower number (risfree rate + 4%) for safer companies.</t>
        </r>
      </text>
    </comment>
    <comment ref="B43" authorId="0" shapeId="0" xr:uid="{00000000-0006-0000-0000-000022000000}">
      <text>
        <r>
          <rPr>
            <b/>
            <sz val="9"/>
            <color rgb="FF000000"/>
            <rFont val="Geneva"/>
            <family val="2"/>
          </rPr>
          <t>Aswath Damodaran:</t>
        </r>
        <r>
          <rPr>
            <sz val="9"/>
            <color rgb="FF000000"/>
            <rFont val="Geneva"/>
            <family val="2"/>
          </rPr>
          <t xml:space="preserve">
</t>
        </r>
        <r>
          <rPr>
            <sz val="9"/>
            <color rgb="FF000000"/>
            <rFont val="Geneva"/>
            <family val="2"/>
          </rPr>
          <t>The default assumption is that competitive advantages will fade to zero over time. While this is a good assumption for many firms (about 7 in 10), there are some firms with sustainable competitive advantages (brand name, for instance), where the excess returns may continue beyond year 10. If your firm is one of those, you can enter a return on capital higher than your cost of capital in the cell below. Just don't get carried away. At the maximum, the excess return should not exceed 5% for a mature firm.</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 ref="B46" authorId="0" shapeId="0" xr:uid="{00000000-0006-0000-0000-000024000000}">
      <text>
        <r>
          <rPr>
            <b/>
            <sz val="9"/>
            <color rgb="FF000000"/>
            <rFont val="Geneva"/>
            <family val="2"/>
          </rPr>
          <t>Aswath Damodaran:</t>
        </r>
        <r>
          <rPr>
            <sz val="9"/>
            <color rgb="FF000000"/>
            <rFont val="Geneva"/>
            <family val="2"/>
          </rPr>
          <t xml:space="preserve">
</t>
        </r>
        <r>
          <rPr>
            <sz val="9"/>
            <color rgb="FF000000"/>
            <rFont val="Geneva"/>
            <family val="2"/>
          </rPr>
          <t>Companies at either end of the life cycle - young, growth and old, declining firms have a significant likelihood of failure. While we tend to ignore this in conventional DCF, it is worth thinking about whether you want to estimate a probability of failure. It is not easy to do but it can be done by looking at either history (with young, growth companies) or the debt market (with distressed companies).</t>
        </r>
      </text>
    </comment>
    <comment ref="B47" authorId="0" shapeId="0" xr:uid="{00000000-0006-0000-0000-000025000000}">
      <text>
        <r>
          <rPr>
            <b/>
            <sz val="9"/>
            <color rgb="FF000000"/>
            <rFont val="Geneva"/>
            <family val="2"/>
          </rPr>
          <t>Aswath Damodaran</t>
        </r>
        <r>
          <rPr>
            <sz val="9"/>
            <color rgb="FF000000"/>
            <rFont val="Geneva"/>
            <family val="2"/>
          </rPr>
          <t xml:space="preserve">
</t>
        </r>
        <r>
          <rPr>
            <sz val="9"/>
            <color rgb="FF000000"/>
            <rFont val="Geneva"/>
            <family val="2"/>
          </rPr>
          <t xml:space="preserve">If you want to look at ways of estimating this probability, try these papers I have on the topic:
</t>
        </r>
        <r>
          <rPr>
            <sz val="9"/>
            <color rgb="FF000000"/>
            <rFont val="Geneva"/>
            <family val="2"/>
          </rPr>
          <t xml:space="preserve">For young growth companies: http://papers.ssrn.com/sol3/papers.cfm?abstract_id=1418687  
</t>
        </r>
        <r>
          <rPr>
            <sz val="9"/>
            <color rgb="FF000000"/>
            <rFont val="Geneva"/>
            <family val="2"/>
          </rPr>
          <t xml:space="preserve">For declining, distressed companies: http://papers.ssrn.com/sol3/papers.cfm?abstract_id=1428022 </t>
        </r>
      </text>
    </comment>
    <comment ref="B48" authorId="0" shapeId="0" xr:uid="{00000000-0006-0000-0000-000026000000}">
      <text>
        <r>
          <rPr>
            <b/>
            <sz val="9"/>
            <color rgb="FF000000"/>
            <rFont val="Geneva"/>
            <family val="2"/>
          </rPr>
          <t>Aswath Damodaran:</t>
        </r>
        <r>
          <rPr>
            <sz val="9"/>
            <color rgb="FF000000"/>
            <rFont val="Geneva"/>
            <family val="2"/>
          </rPr>
          <t xml:space="preserve">
</t>
        </r>
        <r>
          <rPr>
            <sz val="9"/>
            <color rgb="FF000000"/>
            <rFont val="Geneva"/>
            <family val="2"/>
          </rPr>
          <t>If the firm fail and has to liquidate its assets, you need to specify what the liquidation proceeds will be tied to. For young growth companies, I would tie it to value and with distressed firms (especially ones with significant assets in place), I would use book value.</t>
        </r>
      </text>
    </comment>
    <comment ref="B49" authorId="0" shapeId="0" xr:uid="{00000000-0006-0000-0000-000027000000}">
      <text>
        <r>
          <rPr>
            <b/>
            <sz val="9"/>
            <color rgb="FF000000"/>
            <rFont val="Geneva"/>
            <family val="2"/>
          </rPr>
          <t>Aswath Damodaran:</t>
        </r>
        <r>
          <rPr>
            <sz val="9"/>
            <color rgb="FF000000"/>
            <rFont val="Geneva"/>
            <family val="2"/>
          </rPr>
          <t xml:space="preserve">
</t>
        </r>
        <r>
          <rPr>
            <sz val="9"/>
            <color rgb="FF000000"/>
            <rFont val="Geneva"/>
            <family val="2"/>
          </rPr>
          <t>You will generally not get 100% of fair value. How much less than 100% you get will depend on whether there are lots of potential buyers for your assets and how much of a hurry you are in to liquidate. It may well be zero for a young growth company with no tangible assets.</t>
        </r>
      </text>
    </comment>
    <comment ref="B51" authorId="0" shapeId="0" xr:uid="{00000000-0006-0000-0000-000028000000}">
      <text>
        <r>
          <rPr>
            <b/>
            <sz val="9"/>
            <color rgb="FF000000"/>
            <rFont val="Geneva"/>
            <family val="2"/>
          </rPr>
          <t>Aswath Damodaran:</t>
        </r>
        <r>
          <rPr>
            <sz val="9"/>
            <color rgb="FF000000"/>
            <rFont val="Geneva"/>
            <family val="2"/>
          </rPr>
          <t xml:space="preserve">
</t>
        </r>
        <r>
          <rPr>
            <sz val="9"/>
            <color rgb="FF000000"/>
            <rFont val="Geneva"/>
            <family val="2"/>
          </rPr>
          <t>Companies generally pay less than the marginal tax rate on their income. Some of that is due to tax deferral and others to quirks in the tax law. Over time, the conservative assumption is to require the tax rate to move towards the marginal tax rate. However, if you believe that your firm's tax benefits are permanent, you can override this assumption.</t>
        </r>
      </text>
    </comment>
    <comment ref="B53" authorId="0" shapeId="0" xr:uid="{00000000-0006-0000-0000-000029000000}">
      <text>
        <r>
          <rPr>
            <b/>
            <sz val="9"/>
            <color rgb="FF000000"/>
            <rFont val="Geneva"/>
            <family val="2"/>
          </rPr>
          <t>Aswath Damodaran:</t>
        </r>
        <r>
          <rPr>
            <sz val="9"/>
            <color rgb="FF000000"/>
            <rFont val="Geneva"/>
            <family val="2"/>
          </rPr>
          <t xml:space="preserve">
</t>
        </r>
        <r>
          <rPr>
            <sz val="9"/>
            <color rgb="FF000000"/>
            <rFont val="Geneva"/>
            <family val="2"/>
          </rPr>
          <t>If your company has been losing money for a while, there will be accumulated losses from prior periods. Check your financial statements.</t>
        </r>
      </text>
    </comment>
    <comment ref="B54" authorId="0" shapeId="0" xr:uid="{00000000-0006-0000-0000-00002A000000}">
      <text>
        <r>
          <rPr>
            <b/>
            <sz val="9"/>
            <color indexed="81"/>
            <rFont val="Geneva"/>
            <family val="2"/>
          </rPr>
          <t>Aswath Damodaran:</t>
        </r>
        <r>
          <rPr>
            <sz val="9"/>
            <color indexed="81"/>
            <rFont val="Geneva"/>
            <family val="2"/>
          </rPr>
          <t xml:space="preserve">
This is the NOL from prior years carried forward into this year.</t>
        </r>
      </text>
    </comment>
    <comment ref="B57" authorId="0" shapeId="0" xr:uid="{00000000-0006-0000-0000-00002B000000}">
      <text>
        <r>
          <rPr>
            <b/>
            <sz val="10"/>
            <color rgb="FF000000"/>
            <rFont val="Calibri"/>
            <family val="2"/>
          </rPr>
          <t xml:space="preserve">Aswath Damodaran:
</t>
        </r>
        <r>
          <rPr>
            <sz val="10"/>
            <color rgb="FF000000"/>
            <rFont val="Calibri"/>
            <family val="2"/>
          </rPr>
          <t xml:space="preserve">Be VERY, VERY careful. This is a growth rate in perpetuity, after year 10. Entering numbers significantly (more than 1%) higher than the risk free rate will render your valuation close to useless.
</t>
        </r>
      </text>
    </comment>
    <comment ref="B60" authorId="0" shapeId="0" xr:uid="{00000000-0006-0000-0000-00002C000000}">
      <text>
        <r>
          <rPr>
            <b/>
            <sz val="10"/>
            <color indexed="81"/>
            <rFont val="Calibri"/>
            <family val="2"/>
          </rPr>
          <t>Aswath Damodaran:</t>
        </r>
        <r>
          <rPr>
            <sz val="10"/>
            <color indexed="81"/>
            <rFont val="Calibri"/>
            <family val="2"/>
          </rPr>
          <t xml:space="preserve">
If your concern is that a portion of the cash is trapped in foreign markets and will be subject to tax, when returned, enter the trapped cash balance. If you feel that the entire cash balance is being discounted because markets don't trust managers, enter the entire cash balance.</t>
        </r>
      </text>
    </comment>
    <comment ref="B61" authorId="0" shapeId="0" xr:uid="{00000000-0006-0000-0000-00002D000000}">
      <text>
        <r>
          <rPr>
            <b/>
            <sz val="10"/>
            <color indexed="81"/>
            <rFont val="Calibri"/>
            <family val="2"/>
          </rPr>
          <t>Aswath Damodaran:</t>
        </r>
        <r>
          <rPr>
            <sz val="10"/>
            <color indexed="81"/>
            <rFont val="Calibri"/>
            <family val="2"/>
          </rPr>
          <t xml:space="preserve">
This is the additional tax due, if the cash is trapped cash. If your concern is that all cash is being discounted by the market because of management mistrust, enter the percentage discount to apply to cash.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<sst xmlns="http://schemas.openxmlformats.org/spreadsheetml/2006/main" count="1396" uniqueCount="765">
  <si>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</si>
  <si>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</si>
  <si>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</si>
  <si>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</si>
  <si>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</si>
  <si>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</si>
  <si>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</si>
  <si>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</si>
  <si>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</si>
  <si>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</si>
  <si>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</si>
  <si>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</si>
  <si>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</si>
  <si>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</si>
  <si>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</si>
  <si>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</si>
  <si>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</si>
  <si>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</si>
  <si>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</si>
  <si>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</si>
  <si>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</si>
  <si>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</si>
  <si>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</si>
  <si>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</si>
  <si>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</si>
  <si>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</si>
  <si>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</si>
  <si>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</si>
  <si>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</si>
  <si>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</si>
  <si>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</si>
  <si>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</si>
  <si>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</si>
  <si>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</si>
  <si>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</si>
  <si>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</si>
  <si>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</si>
  <si>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</si>
  <si>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</si>
  <si>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</si>
  <si>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</si>
  <si>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</si>
  <si>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</si>
  <si>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</si>
  <si>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</si>
  <si>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</si>
  <si>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</si>
  <si>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</si>
  <si>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</si>
  <si>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</si>
  <si>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</si>
  <si>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</si>
  <si>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</si>
  <si>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</si>
  <si>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</si>
  <si>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</si>
  <si>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</si>
  <si>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</si>
  <si>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</si>
  <si>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</si>
  <si>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</si>
  <si>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</si>
  <si>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</si>
  <si>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</si>
  <si>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</si>
  <si>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</si>
  <si>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</si>
  <si>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</si>
  <si>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</si>
  <si>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</si>
  <si>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</si>
  <si>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</si>
  <si>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</si>
  <si>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</si>
  <si>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</si>
  <si>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</si>
  <si>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</si>
  <si>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</si>
  <si>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</si>
  <si>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</si>
  <si>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</si>
  <si>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</si>
  <si>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</si>
  <si>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</si>
  <si>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</si>
  <si>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</si>
  <si>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</si>
  <si>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</si>
  <si>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</si>
  <si>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</si>
  <si>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</si>
  <si>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</si>
  <si>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</si>
  <si>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</si>
  <si>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</si>
  <si>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</si>
  <si>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</si>
  <si>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</si>
  <si>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</si>
  <si>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</si>
  <si>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</si>
  <si>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</si>
  <si>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</si>
  <si>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</si>
  <si>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</si>
  <si>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</si>
  <si>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</si>
  <si>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</si>
  <si>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</si>
  <si>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</si>
  <si>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</si>
  <si>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</si>
  <si>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</si>
  <si>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</si>
  <si>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</si>
  <si>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</si>
  <si>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</si>
  <si>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</si>
  <si>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</si>
  <si>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</si>
  <si>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</si>
  <si>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</si>
  <si>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</si>
  <si>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</si>
  <si>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</si>
  <si>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</si>
  <si>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</si>
  <si>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</si>
  <si>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</si>
  <si>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</si>
  <si>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</si>
  <si>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</si>
  <si>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</si>
  <si>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</si>
  <si>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</si>
  <si>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</si>
  <si>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</si>
  <si>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</si>
  <si>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</si>
  <si>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</si>
  <si>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</si>
  <si>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</si>
  <si>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</si>
  <si>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</si>
  <si>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</si>
  <si>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</si>
  <si>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</si>
  <si>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</si>
  <si>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</si>
  <si>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</si>
  <si>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</si>
  <si>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</si>
  <si>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</si>
  <si>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</si>
  <si>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</si>
  <si>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</si>
  <si>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</si>
  <si>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</si>
  <si>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</si>
  <si>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</si>
  <si>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</si>
  <si>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</si>
  <si>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</si>
  <si>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</si>
  <si>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</si>
  <si>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</si>
  <si>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</si>
  <si>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</si>
  <si>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</si>
  <si>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</si>
  <si>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</si>
  <si>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</si>
  <si>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</si>
  <si>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</si>
  <si>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</si>
  <si>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</si>
  <si>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</si>
  <si>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</si>
  <si>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</si>
  <si>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</si>
  <si>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</si>
  <si>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</si>
  <si>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</si>
  <si>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</si>
  <si>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</si>
  <si>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</si>
  <si>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</si>
  <si>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</si>
  <si>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</si>
  <si>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</si>
  <si>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</si>
  <si>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</si>
  <si>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</si>
  <si>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</si>
  <si>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</si>
  <si>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</si>
  <si>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</si>
  <si>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</si>
  <si>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</si>
  <si>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</si>
  <si>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</si>
  <si>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</si>
  <si>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</si>
  <si>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</si>
  <si>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</si>
  <si>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</si>
  <si>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</si>
  <si>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</si>
  <si>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</si>
  <si>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</si>
  <si>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</si>
  <si>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</si>
  <si>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</si>
  <si>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</si>
  <si>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</si>
  <si>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</si>
  <si>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</si>
  <si>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</si>
  <si>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</si>
  <si>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</si>
  <si>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</si>
  <si>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</si>
  <si>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</si>
  <si>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</si>
  <si>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</si>
  <si>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</si>
  <si>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</si>
  <si>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</si>
  <si>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</si>
  <si>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</si>
  <si>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</si>
  <si>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</si>
  <si>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</si>
  <si>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</si>
  <si>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</si>
  <si>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</si>
  <si>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</si>
  <si>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</si>
  <si>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</si>
  <si>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</si>
  <si>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</si>
  <si>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</si>
  <si>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</si>
  <si>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</si>
  <si>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</si>
  <si>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</si>
  <si>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</si>
  <si>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</si>
  <si>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</si>
  <si>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</si>
  <si>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</si>
  <si>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</si>
  <si>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</si>
  <si>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</si>
  <si>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</si>
  <si>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</si>
  <si>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</si>
  <si>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</si>
  <si>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</si>
  <si>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</si>
  <si>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</si>
  <si>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</si>
  <si>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</si>
  <si>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</si>
  <si>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</si>
  <si>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</si>
  <si>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</si>
  <si>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</si>
  <si>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</si>
  <si>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</si>
  <si>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</si>
  <si>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</si>
  <si>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</si>
  <si>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</si>
  <si>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</si>
  <si>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</si>
  <si>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</si>
  <si>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</si>
  <si>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</si>
  <si>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</si>
  <si>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</si>
  <si>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</si>
  <si>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</si>
  <si>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</si>
  <si>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</si>
  <si>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</si>
  <si>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</si>
  <si>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</si>
  <si>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</si>
  <si>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</si>
  <si>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</si>
  <si>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</si>
  <si>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</si>
  <si>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</si>
  <si>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</si>
  <si>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</si>
  <si>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</si>
  <si>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</si>
  <si>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</si>
  <si>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</si>
  <si>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</si>
  <si>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</si>
  <si>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</si>
  <si>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</si>
  <si>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</si>
  <si>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</si>
  <si>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</si>
  <si>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</si>
  <si>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</si>
  <si>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</si>
  <si>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</si>
  <si>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</si>
  <si>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</si>
  <si>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</si>
  <si>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</si>
  <si>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</si>
  <si>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</si>
  <si>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</si>
  <si>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</si>
  <si>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</si>
  <si>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</si>
  <si>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</si>
  <si>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</si>
  <si>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</si>
  <si>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</si>
  <si>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</si>
  <si>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</si>
  <si>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</si>
  <si>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</si>
  <si>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</si>
  <si>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</si>
  <si>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</si>
  <si>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</si>
  <si>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</si>
  <si>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</si>
  <si>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</si>
  <si>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</si>
  <si>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</si>
  <si>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</si>
  <si>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</si>
  <si>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</si>
  <si>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</si>
  <si>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</si>
  <si>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</si>
  <si>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</si>
  <si>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</si>
  <si>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</si>
  <si>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</si>
  <si>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</si>
  <si>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</si>
  <si>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</si>
  <si>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</si>
  <si>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</si>
  <si>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</si>
  <si>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</si>
  <si>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</si>
  <si>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</si>
  <si>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</si>
  <si>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</si>
  <si>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</si>
  <si>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</si>
  <si>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</si>
  <si>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</si>
  <si>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</si>
  <si>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</si>
  <si>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</si>
  <si>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</si>
  <si>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</si>
  <si>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</si>
  <si>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</si>
  <si>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</si>
  <si>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</si>
  <si>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</si>
  <si>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</si>
  <si>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</si>
  <si>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</si>
  <si>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</si>
  <si>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</si>
  <si>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</si>
  <si>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</si>
  <si>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</si>
  <si>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</si>
  <si>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</si>
  <si>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</si>
  <si>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</si>
  <si>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</si>
  <si>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</si>
  <si>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</si>
  <si>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</si>
  <si>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</si>
  <si>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</si>
  <si>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</si>
  <si>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</si>
  <si>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</si>
  <si>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</si>
  <si>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</si>
  <si>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</si>
  <si>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</si>
  <si>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</si>
  <si>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</si>
  <si>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</si>
  <si>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</si>
  <si>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</si>
  <si>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</si>
  <si>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</si>
  <si>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</si>
  <si>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</si>
  <si>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</si>
  <si>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</si>
  <si>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</si>
  <si>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</si>
  <si>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</si>
  <si>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</si>
  <si>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</si>
  <si>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</si>
  <si>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</si>
  <si>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</si>
  <si>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</si>
  <si>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</si>
  <si>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</si>
  <si>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</si>
  <si>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</si>
  <si>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</si>
  <si>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</si>
  <si>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</si>
  <si>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</si>
  <si>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</si>
  <si>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</si>
  <si>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</si>
  <si>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</si>
  <si>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</si>
  <si>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</si>
  <si>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</si>
  <si>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</si>
  <si>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</si>
  <si>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</si>
  <si>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</si>
  <si>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</si>
  <si>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</si>
  <si>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</si>
  <si>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</si>
  <si>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</si>
  <si>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</si>
  <si>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</si>
  <si>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</si>
  <si>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</si>
  <si>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</si>
  <si>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</si>
  <si>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</si>
  <si>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</si>
  <si>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</si>
  <si>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</si>
  <si>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</si>
  <si>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</si>
  <si>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</si>
  <si>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</si>
  <si>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</si>
  <si>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</si>
  <si>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</si>
  <si>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</si>
  <si>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</si>
  <si>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</si>
  <si>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</si>
  <si>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</si>
  <si>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</si>
  <si>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</si>
  <si>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</si>
  <si>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</si>
  <si>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</si>
  <si>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</si>
  <si>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</si>
  <si>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</si>
  <si>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</si>
  <si>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</si>
  <si>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</si>
  <si>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</si>
  <si>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</si>
  <si>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</si>
  <si>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</si>
  <si>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</si>
  <si>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</si>
  <si>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</si>
  <si>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</si>
  <si>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</si>
  <si>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</si>
  <si>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</si>
  <si>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</si>
  <si>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</si>
  <si>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</si>
  <si>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</si>
  <si>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</si>
  <si>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</si>
  <si>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</si>
  <si>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</si>
  <si>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</si>
  <si>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</si>
  <si>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</si>
  <si>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</si>
  <si>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</si>
  <si>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</si>
  <si>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</si>
  <si>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</si>
  <si>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</si>
  <si>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</si>
  <si>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</si>
  <si>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</si>
  <si>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</si>
  <si>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</si>
  <si>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</si>
  <si>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</si>
  <si>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</si>
  <si>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</si>
  <si>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</si>
  <si>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</si>
  <si>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</si>
  <si>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</si>
  <si>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</si>
  <si>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</si>
  <si>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</si>
  <si>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</si>
  <si>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</si>
  <si>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</si>
  <si>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</si>
  <si>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</si>
  <si>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</si>
  <si>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</si>
  <si>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</si>
  <si>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</si>
  <si>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</si>
  <si>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</si>
  <si>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</si>
  <si>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</si>
  <si>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</si>
  <si>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</si>
  <si>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</si>
  <si>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</si>
  <si>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</si>
  <si>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</si>
  <si>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</si>
  <si>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</si>
  <si>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</si>
  <si>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</si>
  <si>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</si>
  <si>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</si>
  <si>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</si>
  <si>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</si>
  <si>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</si>
  <si>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</si>
  <si>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</si>
  <si>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</si>
  <si>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</si>
  <si>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</si>
  <si>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</si>
  <si>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</si>
  <si>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</si>
  <si>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</si>
  <si>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</si>
  <si>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</si>
  <si>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</si>
  <si>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</si>
  <si>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</si>
  <si>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</si>
  <si>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</si>
  <si>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</si>
  <si>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</si>
  <si>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</si>
  <si>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</si>
  <si>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</si>
  <si>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</si>
  <si>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</si>
  <si>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</si>
  <si>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</si>
  <si>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</si>
  <si>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</si>
  <si>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</si>
  <si>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</si>
  <si>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</si>
  <si>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</si>
  <si>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</si>
  <si>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</si>
  <si>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</si>
  <si>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</si>
  <si>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</si>
  <si>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</si>
  <si>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</si>
  <si>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</si>
  <si>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</si>
  <si>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</si>
  <si>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</si>
  <si>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</si>
  <si>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</si>
  <si>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</si>
  <si>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</si>
  <si>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</si>
  <si>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</si>
  <si>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</si>
  <si>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</si>
  <si>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</si>
  <si>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</si>
  <si>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</si>
  <si>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</si>
  <si>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</si>
  <si>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</si>
  <si>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</si>
  <si>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</si>
  <si>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</si>
  <si>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</si>
  <si>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</si>
  <si>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</si>
  <si>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</si>
  <si>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</si>
  <si>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</si>
  <si>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</si>
  <si>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</si>
  <si>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</si>
  <si>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</si>
  <si>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</si>
  <si>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</si>
  <si>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</si>
  <si>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</si>
  <si>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</si>
  <si>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</si>
  <si>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</si>
  <si>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</si>
  <si>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</si>
  <si>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</si>
  <si>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</si>
  <si>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</si>
  <si>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</si>
  <si>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</si>
  <si>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</si>
  <si>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</si>
  <si>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</si>
  <si>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</si>
  <si>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</si>
  <si>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</si>
  <si>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</si>
  <si>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</si>
  <si>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</si>
  <si>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</si>
  <si>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</si>
  <si>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</si>
  <si>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</si>
  <si>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</si>
  <si>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</si>
  <si>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</si>
  <si>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</si>
  <si>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</si>
  <si>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</si>
  <si>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</si>
  <si>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</si>
  <si>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</si>
  <si>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</si>
  <si>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</si>
  <si>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</si>
  <si>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</si>
  <si>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</si>
  <si>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</si>
  <si>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</si>
  <si>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</si>
  <si>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</si>
  <si>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</si>
  <si>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</si>
  <si>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</si>
  <si>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</si>
  <si>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</si>
  <si>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</si>
  <si>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</si>
  <si>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</si>
  <si>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</si>
  <si>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</si>
  <si>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</si>
  <si>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</si>
  <si>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</si>
  <si>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</si>
  <si>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</si>
  <si>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</si>
  <si>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</si>
  <si>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</si>
  <si>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</si>
  <si>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</si>
  <si>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</si>
  <si>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</si>
  <si>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</si>
  <si>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</si>
  <si>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</si>
  <si>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</si>
  <si>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</si>
  <si>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</si>
  <si>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</si>
  <si>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</si>
  <si>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</si>
  <si>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</si>
  <si>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</si>
  <si>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</si>
  <si>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</si>
  <si>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</si>
  <si>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</si>
  <si>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</si>
  <si>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</si>
  <si>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</si>
  <si>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</si>
  <si>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</si>
  <si>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</si>
  <si>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</si>
  <si>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</si>
  <si>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</si>
  <si>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</si>
  <si>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</si>
  <si>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</si>
  <si>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</si>
  <si>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</si>
  <si>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</si>
  <si>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</si>
  <si>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</si>
  <si>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</si>
  <si>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</si>
  <si>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</si>
  <si>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</si>
  <si>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</si>
  <si>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</si>
  <si>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</si>
  <si>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</si>
  <si>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</si>
  <si>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</si>
  <si>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</si>
  <si>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</si>
  <si>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</si>
  <si>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</si>
  <si>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</si>
  <si>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</si>
  <si>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</si>
  <si>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</si>
  <si>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</si>
  <si>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</si>
  <si>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</si>
  <si>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</si>
  <si>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</si>
  <si>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</si>
  <si>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</si>
  <si>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</si>
  <si>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</si>
  <si>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</si>
  <si>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</si>
  <si>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</si>
  <si>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</si>
  <si>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</si>
  <si>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</si>
  <si>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</si>
  <si>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</si>
  <si>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</si>
  <si>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</si>
  <si>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</si>
  <si>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</si>
  <si>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</si>
  <si>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</si>
  <si>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</si>
  <si>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</si>
  <si>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</si>
  <si>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</si>
  <si>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</si>
  <si>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</si>
  <si>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</si>
  <si>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</si>
  <si>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Illinois Tool 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</si>
</sst>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8">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sz val="10"/>
      <color indexed="81"/>
      <name val="Calibri"/>
      <family val="2"/>
    </font>
    <font>
      <b/>
      <sz val="10"/>
      <color indexed="81"/>
      <name val="Calibri"/>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10"/>
      <color rgb="FF000000"/>
      <name val="Calibri"/>
      <family val="2"/>
    </font>
    <font>
      <sz val="10"/>
      <color rgb="FF000000"/>
      <name val="Calibri"/>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7"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8"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7"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9"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50"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41"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50"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51" fillId="0" borderId="0" xfId="0" applyFont="1"/>
    <xf numFmtId="0" fontId="52" fillId="0" borderId="31" xfId="0" applyFont="1" applyBorder="1" applyAlignment="1">
      <alignment horizontal="center"/>
    </xf>
    <xf numFmtId="0" fontId="52" fillId="0" borderId="14" xfId="0" applyFont="1" applyBorder="1" applyAlignment="1">
      <alignment horizontal="center"/>
    </xf>
    <xf numFmtId="16" fontId="52" fillId="0" borderId="14" xfId="0" applyNumberFormat="1" applyFont="1" applyBorder="1" applyAlignment="1">
      <alignment horizontal="center"/>
    </xf>
    <xf numFmtId="0" fontId="52" fillId="0" borderId="32" xfId="0" applyFont="1" applyFill="1" applyBorder="1" applyAlignment="1">
      <alignment horizontal="center"/>
    </xf>
    <xf numFmtId="0" fontId="52" fillId="0" borderId="33" xfId="0" applyFont="1" applyBorder="1"/>
    <xf numFmtId="166" fontId="46" fillId="0" borderId="34" xfId="2" applyFont="1" applyBorder="1"/>
    <xf numFmtId="0" fontId="53" fillId="0" borderId="35" xfId="0" applyFont="1" applyBorder="1"/>
    <xf numFmtId="0" fontId="53" fillId="0" borderId="36" xfId="0" applyFont="1" applyBorder="1"/>
    <xf numFmtId="171" fontId="53" fillId="0" borderId="1" xfId="2" applyNumberFormat="1" applyFont="1" applyBorder="1" applyAlignment="1">
      <alignment horizontal="center"/>
    </xf>
    <xf numFmtId="10" fontId="53" fillId="0" borderId="1" xfId="0" applyNumberFormat="1" applyFont="1" applyBorder="1" applyAlignment="1">
      <alignment horizontal="center"/>
    </xf>
    <xf numFmtId="0" fontId="53" fillId="0" borderId="1" xfId="0" applyFont="1" applyBorder="1" applyAlignment="1">
      <alignment horizontal="center"/>
    </xf>
    <xf numFmtId="10" fontId="53" fillId="0" borderId="13" xfId="0" applyNumberFormat="1" applyFont="1" applyBorder="1" applyAlignment="1">
      <alignment horizontal="center"/>
    </xf>
    <xf numFmtId="10" fontId="53" fillId="0" borderId="18" xfId="0" applyNumberFormat="1" applyFont="1" applyBorder="1" applyAlignment="1">
      <alignment horizontal="center"/>
    </xf>
    <xf numFmtId="2" fontId="53" fillId="0" borderId="13" xfId="0" applyNumberFormat="1" applyFont="1" applyBorder="1" applyAlignment="1"/>
    <xf numFmtId="2" fontId="53" fillId="0" borderId="18" xfId="0" applyNumberFormat="1" applyFont="1" applyBorder="1" applyAlignment="1">
      <alignment horizontal="left"/>
    </xf>
    <xf numFmtId="10" fontId="53" fillId="0" borderId="13" xfId="3" applyNumberFormat="1" applyFont="1" applyBorder="1" applyAlignment="1">
      <alignment horizontal="right"/>
    </xf>
    <xf numFmtId="10" fontId="53" fillId="0" borderId="18" xfId="3" applyNumberFormat="1" applyFont="1" applyBorder="1" applyAlignment="1">
      <alignment horizontal="center"/>
    </xf>
    <xf numFmtId="0" fontId="53" fillId="0" borderId="37" xfId="0" applyFont="1" applyFill="1" applyBorder="1"/>
    <xf numFmtId="10" fontId="53" fillId="0" borderId="25" xfId="0" applyNumberFormat="1" applyFont="1" applyBorder="1" applyAlignment="1">
      <alignment horizontal="center"/>
    </xf>
    <xf numFmtId="0" fontId="53" fillId="0" borderId="36" xfId="0" applyFont="1" applyBorder="1" applyAlignment="1">
      <alignment horizontal="center"/>
    </xf>
    <xf numFmtId="175" fontId="53" fillId="0" borderId="1" xfId="2" applyNumberFormat="1" applyFont="1" applyBorder="1"/>
    <xf numFmtId="10" fontId="53" fillId="0" borderId="1" xfId="3" applyNumberFormat="1" applyFont="1" applyBorder="1" applyAlignment="1">
      <alignment horizontal="center"/>
    </xf>
    <xf numFmtId="0" fontId="53" fillId="0" borderId="37" xfId="0" applyFont="1" applyBorder="1" applyAlignment="1">
      <alignment horizontal="center"/>
    </xf>
    <xf numFmtId="175" fontId="53" fillId="0" borderId="25" xfId="2" applyNumberFormat="1" applyFont="1" applyBorder="1"/>
    <xf numFmtId="10" fontId="53" fillId="0" borderId="25" xfId="3" applyNumberFormat="1" applyFont="1" applyBorder="1" applyAlignment="1">
      <alignment horizontal="center"/>
    </xf>
    <xf numFmtId="171" fontId="53" fillId="0" borderId="33" xfId="2" applyNumberFormat="1" applyFont="1" applyFill="1" applyBorder="1"/>
    <xf numFmtId="171" fontId="53" fillId="0" borderId="6" xfId="2" applyNumberFormat="1" applyFont="1" applyFill="1" applyBorder="1"/>
    <xf numFmtId="0" fontId="53" fillId="0" borderId="6" xfId="0" applyFont="1" applyBorder="1"/>
    <xf numFmtId="0" fontId="53" fillId="0" borderId="7" xfId="0" applyFont="1" applyBorder="1"/>
    <xf numFmtId="171" fontId="53" fillId="0" borderId="1" xfId="2" applyNumberFormat="1" applyFont="1" applyFill="1" applyBorder="1"/>
    <xf numFmtId="171" fontId="53" fillId="0" borderId="0" xfId="2" applyNumberFormat="1" applyFont="1" applyFill="1" applyBorder="1"/>
    <xf numFmtId="0" fontId="53" fillId="0" borderId="0" xfId="0" applyFont="1" applyBorder="1"/>
    <xf numFmtId="0" fontId="53" fillId="0" borderId="12" xfId="0" applyFont="1" applyBorder="1"/>
    <xf numFmtId="0" fontId="53" fillId="0" borderId="5" xfId="0" applyFont="1" applyFill="1" applyBorder="1" applyAlignment="1">
      <alignment horizontal="left"/>
    </xf>
    <xf numFmtId="0" fontId="53" fillId="0" borderId="0" xfId="0" applyFont="1" applyBorder="1" applyAlignment="1">
      <alignment horizontal="left"/>
    </xf>
    <xf numFmtId="0" fontId="53" fillId="0" borderId="0" xfId="0" applyFont="1"/>
    <xf numFmtId="0" fontId="53" fillId="0" borderId="0" xfId="0" applyFont="1" applyAlignment="1">
      <alignment horizontal="left"/>
    </xf>
    <xf numFmtId="43" fontId="53" fillId="0" borderId="1" xfId="0" applyNumberFormat="1" applyFont="1" applyBorder="1"/>
    <xf numFmtId="0" fontId="53" fillId="0" borderId="5" xfId="0" applyFont="1" applyBorder="1"/>
    <xf numFmtId="0" fontId="53" fillId="0" borderId="38" xfId="0" applyFont="1" applyBorder="1"/>
    <xf numFmtId="0" fontId="53" fillId="0" borderId="39" xfId="0" applyFont="1" applyBorder="1"/>
    <xf numFmtId="10" fontId="53" fillId="0" borderId="20" xfId="3" applyNumberFormat="1" applyFont="1" applyBorder="1" applyAlignment="1">
      <alignment horizontal="right"/>
    </xf>
    <xf numFmtId="10" fontId="53" fillId="0" borderId="17" xfId="3" applyNumberFormat="1" applyFont="1" applyBorder="1" applyAlignment="1">
      <alignment horizontal="center"/>
    </xf>
    <xf numFmtId="0" fontId="53" fillId="0" borderId="16" xfId="0" applyFont="1" applyBorder="1"/>
    <xf numFmtId="10" fontId="53" fillId="0" borderId="3" xfId="0" applyNumberFormat="1" applyFont="1" applyBorder="1" applyAlignment="1">
      <alignment horizontal="center"/>
    </xf>
    <xf numFmtId="0" fontId="53" fillId="0" borderId="34" xfId="0" applyFont="1" applyBorder="1" applyAlignment="1">
      <alignment horizontal="center"/>
    </xf>
    <xf numFmtId="0" fontId="53" fillId="0" borderId="40" xfId="0" applyFont="1" applyBorder="1" applyAlignment="1">
      <alignment horizontal="center"/>
    </xf>
    <xf numFmtId="2" fontId="53" fillId="0" borderId="15" xfId="0" applyNumberFormat="1" applyFont="1" applyBorder="1" applyAlignment="1"/>
    <xf numFmtId="10" fontId="53" fillId="0" borderId="17" xfId="3" applyNumberFormat="1" applyFont="1" applyBorder="1" applyAlignment="1">
      <alignment horizontal="left"/>
    </xf>
    <xf numFmtId="167" fontId="53" fillId="0" borderId="41" xfId="0" applyNumberFormat="1" applyFont="1" applyBorder="1" applyAlignment="1">
      <alignment horizontal="left"/>
    </xf>
    <xf numFmtId="0" fontId="52" fillId="0" borderId="42" xfId="0" applyFont="1" applyBorder="1" applyAlignment="1">
      <alignment horizontal="left"/>
    </xf>
    <xf numFmtId="175" fontId="53" fillId="0" borderId="13" xfId="2" applyNumberFormat="1" applyFont="1" applyBorder="1" applyAlignment="1">
      <alignment horizontal="left"/>
    </xf>
    <xf numFmtId="171" fontId="53" fillId="0" borderId="13" xfId="2" applyNumberFormat="1" applyFont="1" applyFill="1" applyBorder="1"/>
    <xf numFmtId="10" fontId="53"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50"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50" fillId="4" borderId="1" xfId="0" applyFont="1" applyFill="1" applyBorder="1"/>
    <xf numFmtId="173" fontId="38" fillId="0" borderId="0" xfId="0" applyNumberFormat="1" applyFont="1" applyAlignment="1">
      <alignment horizontal="right"/>
    </xf>
    <xf numFmtId="0" fontId="54" fillId="0" borderId="43" xfId="0" applyFont="1" applyBorder="1" applyAlignment="1">
      <alignment vertical="center" wrapText="1"/>
    </xf>
    <xf numFmtId="0" fontId="55" fillId="0" borderId="0" xfId="0" applyFont="1"/>
    <xf numFmtId="166" fontId="55" fillId="0" borderId="0" xfId="0" applyNumberFormat="1" applyFont="1"/>
    <xf numFmtId="10" fontId="55" fillId="0" borderId="0" xfId="0" applyNumberFormat="1" applyFont="1"/>
    <xf numFmtId="166" fontId="0" fillId="0" borderId="0" xfId="0" applyNumberFormat="1"/>
    <xf numFmtId="166" fontId="43" fillId="0" borderId="0" xfId="0" applyNumberFormat="1" applyFont="1"/>
    <xf numFmtId="2" fontId="55" fillId="0" borderId="0" xfId="0" applyNumberFormat="1" applyFont="1"/>
    <xf numFmtId="166" fontId="55" fillId="0" borderId="0" xfId="2" applyFont="1"/>
    <xf numFmtId="10" fontId="55" fillId="0" borderId="0" xfId="3" applyNumberFormat="1" applyFont="1"/>
    <xf numFmtId="10" fontId="0" fillId="0" borderId="0" xfId="3" applyNumberFormat="1" applyFont="1"/>
    <xf numFmtId="172" fontId="0" fillId="0" borderId="0" xfId="0" applyNumberFormat="1"/>
    <xf numFmtId="0" fontId="44" fillId="0" borderId="1" xfId="0" applyFont="1" applyBorder="1"/>
    <xf numFmtId="0" fontId="44" fillId="0" borderId="13" xfId="0" applyFont="1" applyBorder="1" applyAlignment="1">
      <alignment horizontal="center"/>
    </xf>
    <xf numFmtId="0" fontId="44" fillId="0" borderId="1" xfId="0" applyFont="1" applyFill="1" applyBorder="1"/>
    <xf numFmtId="10" fontId="42"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7" fillId="0" borderId="0" xfId="0" applyFont="1"/>
    <xf numFmtId="0" fontId="21" fillId="0" borderId="1" xfId="0" applyFont="1" applyBorder="1"/>
    <xf numFmtId="10" fontId="22" fillId="0" borderId="1" xfId="3" applyNumberFormat="1" applyFont="1" applyBorder="1" applyAlignment="1">
      <alignment horizontal="center"/>
    </xf>
    <xf numFmtId="0" fontId="53"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3" fillId="0" borderId="22" xfId="0" applyFont="1" applyFill="1" applyBorder="1" applyAlignment="1">
      <alignment horizontal="left"/>
    </xf>
    <xf numFmtId="0" fontId="53" fillId="0" borderId="5" xfId="0" applyFont="1" applyFill="1" applyBorder="1" applyAlignment="1">
      <alignment horizontal="left"/>
    </xf>
    <xf numFmtId="0" fontId="53" fillId="0" borderId="18" xfId="0" applyFont="1" applyFill="1" applyBorder="1" applyAlignment="1">
      <alignment horizontal="left"/>
    </xf>
    <xf numFmtId="0" fontId="53" fillId="0" borderId="46" xfId="0" applyFont="1" applyFill="1" applyBorder="1" applyAlignment="1">
      <alignment horizontal="left"/>
    </xf>
    <xf numFmtId="0" fontId="53" fillId="0" borderId="47" xfId="0" applyFont="1" applyFill="1" applyBorder="1" applyAlignment="1">
      <alignment horizontal="left"/>
    </xf>
    <xf numFmtId="0" fontId="53" fillId="0" borderId="48" xfId="0" applyFont="1" applyFill="1" applyBorder="1" applyAlignment="1">
      <alignment horizontal="left"/>
    </xf>
    <xf numFmtId="0" fontId="1" fillId="0" borderId="15" xfId="0" applyFont="1" applyBorder="1" applyAlignment="1">
      <alignment horizontal="left" vertical="top" wrapText="1"/>
    </xf>
    <xf numFmtId="0" fontId="56" fillId="0" borderId="16" xfId="0" applyFont="1" applyBorder="1" applyAlignment="1">
      <alignment horizontal="left" vertical="top" wrapText="1"/>
    </xf>
    <xf numFmtId="0" fontId="56" fillId="0" borderId="17" xfId="0" applyFont="1" applyBorder="1" applyAlignment="1">
      <alignment horizontal="left" vertical="top" wrapText="1"/>
    </xf>
    <xf numFmtId="0" fontId="56" fillId="0" borderId="20" xfId="0" applyFont="1" applyBorder="1" applyAlignment="1">
      <alignment horizontal="left" vertical="top" wrapText="1"/>
    </xf>
    <xf numFmtId="0" fontId="56" fillId="0" borderId="0" xfId="0" applyFont="1" applyBorder="1" applyAlignment="1">
      <alignment horizontal="left" vertical="top" wrapText="1"/>
    </xf>
    <xf numFmtId="0" fontId="56" fillId="0" borderId="21" xfId="0" applyFont="1" applyBorder="1" applyAlignment="1">
      <alignment horizontal="left" vertical="top" wrapText="1"/>
    </xf>
    <xf numFmtId="0" fontId="56" fillId="0" borderId="49" xfId="0" applyFont="1" applyBorder="1" applyAlignment="1">
      <alignment horizontal="left" vertical="top" wrapText="1"/>
    </xf>
    <xf numFmtId="0" fontId="56" fillId="0" borderId="50" xfId="0" applyFont="1" applyBorder="1" applyAlignment="1">
      <alignment horizontal="left" vertical="top" wrapText="1"/>
    </xf>
    <xf numFmtId="0" fontId="56" fillId="0" borderId="30" xfId="0" applyFont="1" applyBorder="1" applyAlignment="1">
      <alignment horizontal="left" vertical="top" wrapText="1"/>
    </xf>
    <xf numFmtId="0" fontId="57" fillId="0" borderId="15" xfId="0" applyFont="1" applyBorder="1" applyAlignment="1">
      <alignment horizontal="left" wrapText="1"/>
    </xf>
    <xf numFmtId="0" fontId="58" fillId="0" borderId="16" xfId="0" applyFont="1" applyBorder="1" applyAlignment="1">
      <alignment horizontal="left" wrapText="1"/>
    </xf>
    <xf numFmtId="0" fontId="58" fillId="0" borderId="17" xfId="0" applyFont="1" applyBorder="1" applyAlignment="1">
      <alignment horizontal="left" wrapText="1"/>
    </xf>
    <xf numFmtId="0" fontId="58" fillId="0" borderId="20" xfId="0" applyFont="1" applyBorder="1" applyAlignment="1">
      <alignment horizontal="left" wrapText="1"/>
    </xf>
    <xf numFmtId="0" fontId="58" fillId="0" borderId="0" xfId="0" applyFont="1" applyBorder="1" applyAlignment="1">
      <alignment horizontal="left" wrapText="1"/>
    </xf>
    <xf numFmtId="0" fontId="58" fillId="0" borderId="21" xfId="0" applyFont="1" applyBorder="1" applyAlignment="1">
      <alignment horizontal="left" wrapText="1"/>
    </xf>
    <xf numFmtId="0" fontId="58" fillId="0" borderId="49" xfId="0" applyFont="1" applyBorder="1" applyAlignment="1">
      <alignment horizontal="left" wrapText="1"/>
    </xf>
    <xf numFmtId="0" fontId="58" fillId="0" borderId="50" xfId="0" applyFont="1" applyBorder="1" applyAlignment="1">
      <alignment horizontal="left" wrapText="1"/>
    </xf>
    <xf numFmtId="0" fontId="58" fillId="0" borderId="30" xfId="0" applyFont="1" applyBorder="1" applyAlignment="1">
      <alignment horizontal="left" wrapText="1"/>
    </xf>
    <xf numFmtId="0" fontId="46" fillId="0" borderId="15" xfId="0" applyFont="1" applyBorder="1" applyAlignment="1">
      <alignment horizontal="left" vertical="center" wrapText="1"/>
    </xf>
    <xf numFmtId="0" fontId="46" fillId="0" borderId="16" xfId="0" applyFont="1" applyBorder="1" applyAlignment="1">
      <alignment horizontal="left" vertical="center" wrapText="1"/>
    </xf>
    <xf numFmtId="0" fontId="46" fillId="0" borderId="17" xfId="0" applyFont="1" applyBorder="1" applyAlignment="1">
      <alignment horizontal="left" vertical="center" wrapText="1"/>
    </xf>
    <xf numFmtId="0" fontId="46" fillId="0" borderId="20" xfId="0" applyFont="1" applyBorder="1" applyAlignment="1">
      <alignment horizontal="left" vertical="center" wrapText="1"/>
    </xf>
    <xf numFmtId="0" fontId="46" fillId="0" borderId="0" xfId="0" applyFont="1" applyBorder="1" applyAlignment="1">
      <alignment horizontal="left" vertical="center" wrapText="1"/>
    </xf>
    <xf numFmtId="0" fontId="46" fillId="0" borderId="21" xfId="0" applyFont="1" applyBorder="1" applyAlignment="1">
      <alignment horizontal="left" vertical="center" wrapText="1"/>
    </xf>
    <xf numFmtId="0" fontId="46" fillId="0" borderId="49" xfId="0" applyFont="1" applyBorder="1" applyAlignment="1">
      <alignment horizontal="left" vertical="center" wrapText="1"/>
    </xf>
    <xf numFmtId="0" fontId="46" fillId="0" borderId="50" xfId="0" applyFont="1" applyBorder="1" applyAlignment="1">
      <alignment horizontal="left" vertical="center" wrapText="1"/>
    </xf>
    <xf numFmtId="0" fontId="46" fillId="0" borderId="30" xfId="0" applyFont="1" applyBorder="1" applyAlignment="1">
      <alignment horizontal="left" vertical="center" wrapText="1"/>
    </xf>
    <xf numFmtId="0" fontId="59" fillId="0" borderId="15" xfId="0" applyFont="1" applyBorder="1" applyAlignment="1">
      <alignment horizontal="left" vertical="center" wrapText="1"/>
    </xf>
    <xf numFmtId="0" fontId="53" fillId="0" borderId="16" xfId="0" applyFont="1" applyBorder="1" applyAlignment="1">
      <alignment horizontal="left" vertical="center" wrapText="1"/>
    </xf>
    <xf numFmtId="0" fontId="53" fillId="0" borderId="17" xfId="0" applyFont="1" applyBorder="1" applyAlignment="1">
      <alignment horizontal="left" vertical="center" wrapText="1"/>
    </xf>
    <xf numFmtId="0" fontId="53" fillId="0" borderId="20" xfId="0" applyFont="1" applyBorder="1" applyAlignment="1">
      <alignment horizontal="left" vertical="center" wrapText="1"/>
    </xf>
    <xf numFmtId="0" fontId="53" fillId="0" borderId="0" xfId="0" applyFont="1" applyBorder="1" applyAlignment="1">
      <alignment horizontal="left" vertical="center" wrapText="1"/>
    </xf>
    <xf numFmtId="0" fontId="53" fillId="0" borderId="21" xfId="0" applyFont="1" applyBorder="1" applyAlignment="1">
      <alignment horizontal="left" vertical="center" wrapText="1"/>
    </xf>
    <xf numFmtId="0" fontId="53" fillId="0" borderId="49" xfId="0" applyFont="1" applyBorder="1" applyAlignment="1">
      <alignment horizontal="left" vertical="center" wrapText="1"/>
    </xf>
    <xf numFmtId="0" fontId="53" fillId="0" borderId="50" xfId="0" applyFont="1" applyBorder="1" applyAlignment="1">
      <alignment horizontal="left" vertical="center" wrapText="1"/>
    </xf>
    <xf numFmtId="0" fontId="53" fillId="0" borderId="30" xfId="0" applyFont="1" applyBorder="1" applyAlignment="1">
      <alignment horizontal="left" vertical="center" wrapText="1"/>
    </xf>
    <xf numFmtId="0" fontId="46" fillId="0" borderId="11" xfId="0" applyFont="1" applyBorder="1" applyAlignment="1">
      <alignment horizontal="left" vertical="center" wrapText="1"/>
    </xf>
    <xf numFmtId="0" fontId="46" fillId="0" borderId="0" xfId="0" applyFont="1" applyAlignment="1">
      <alignment horizontal="left" vertical="center" wrapText="1"/>
    </xf>
    <xf numFmtId="171" fontId="53" fillId="0" borderId="13" xfId="2" applyNumberFormat="1" applyFont="1" applyFill="1" applyBorder="1" applyAlignment="1">
      <alignment horizontal="right"/>
    </xf>
    <xf numFmtId="171" fontId="53" fillId="0" borderId="5" xfId="2" applyNumberFormat="1" applyFont="1" applyFill="1" applyBorder="1" applyAlignment="1">
      <alignment horizontal="right"/>
    </xf>
    <xf numFmtId="0" fontId="53" fillId="0" borderId="36" xfId="0" applyFont="1" applyBorder="1" applyAlignment="1">
      <alignment horizontal="left"/>
    </xf>
    <xf numFmtId="0" fontId="53" fillId="0" borderId="1" xfId="0" applyFont="1" applyBorder="1" applyAlignment="1">
      <alignment horizontal="left"/>
    </xf>
    <xf numFmtId="0" fontId="53" fillId="0" borderId="37" xfId="0" applyFont="1" applyBorder="1" applyAlignment="1">
      <alignment horizontal="left"/>
    </xf>
    <xf numFmtId="0" fontId="53" fillId="0" borderId="25" xfId="0" applyFont="1" applyBorder="1" applyAlignment="1">
      <alignment horizontal="left"/>
    </xf>
    <xf numFmtId="0" fontId="53" fillId="0" borderId="45" xfId="0" applyFont="1" applyBorder="1" applyAlignment="1">
      <alignment horizontal="right"/>
    </xf>
    <xf numFmtId="0" fontId="53" fillId="0" borderId="43" xfId="0" applyFont="1" applyBorder="1" applyAlignment="1">
      <alignment horizontal="right"/>
    </xf>
    <xf numFmtId="0" fontId="45" fillId="0" borderId="0" xfId="0" applyFont="1" applyBorder="1" applyAlignment="1">
      <alignment horizontal="center"/>
    </xf>
    <xf numFmtId="0" fontId="56" fillId="0" borderId="1" xfId="0" applyFont="1" applyBorder="1" applyAlignment="1">
      <alignment horizontal="center"/>
    </xf>
    <xf numFmtId="0" fontId="56" fillId="0" borderId="13" xfId="0" applyFont="1" applyBorder="1" applyAlignment="1">
      <alignment horizontal="center"/>
    </xf>
    <xf numFmtId="0" fontId="56" fillId="0" borderId="5" xfId="0" applyFont="1" applyBorder="1" applyAlignment="1">
      <alignment horizontal="center"/>
    </xf>
    <xf numFmtId="0" fontId="56" fillId="0" borderId="18" xfId="0" applyFont="1" applyBorder="1" applyAlignment="1">
      <alignment horizontal="center"/>
    </xf>
    <xf numFmtId="0" fontId="56" fillId="0" borderId="44" xfId="0" applyFont="1" applyFill="1" applyBorder="1" applyAlignment="1">
      <alignment horizontal="center"/>
    </xf>
    <xf numFmtId="0" fontId="56" fillId="0" borderId="44" xfId="0" applyFont="1" applyBorder="1" applyAlignment="1">
      <alignment horizontal="center"/>
    </xf>
    <xf numFmtId="10" fontId="60" fillId="0" borderId="45" xfId="0" applyNumberFormat="1" applyFont="1" applyBorder="1" applyAlignment="1">
      <alignment horizontal="center"/>
    </xf>
    <xf numFmtId="10" fontId="60"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persons/person.xml><?xml version="1.0" encoding="utf-8"?>
<personList xmlns="http://schemas.microsoft.com/office/spreadsheetml/2018/threadedcomments" xmlns:x="http://schemas.openxmlformats.org/spreadsheetml/2006/main">
  <person displayName="Aswath Damodaran" id="{08882630-E855-8647-BA66-D057AF7F6490}" userId="589fc2f8758a430e"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8" dT="2019-04-09T18:15:33.38" personId="{08882630-E855-8647-BA66-D057AF7F6490}" id="{507AD798-C9A8-D444-BC40-DF622B5E1F81}">
    <text>Pension, Health care and post retirement obligations.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B25" sqref="B25"/>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387</v>
      </c>
      <c r="B1" s="228">
        <v>42382</v>
      </c>
      <c r="C1" s="169" t="s">
        <v>388</v>
      </c>
      <c r="D1" s="170"/>
      <c r="E1" s="170"/>
      <c r="F1" s="170"/>
      <c r="G1" s="170"/>
      <c r="H1" s="170"/>
      <c r="I1" s="170"/>
      <c r="J1" s="171"/>
    </row>
    <row r="2" spans="1:10" s="56" customFormat="1" ht="14" thickBot="1">
      <c r="A2" s="53" t="s">
        <v>34</v>
      </c>
      <c r="B2" s="229" t="s">
        <v>764</v>
      </c>
      <c r="C2" s="209" t="s">
        <v>102</v>
      </c>
      <c r="D2" s="82"/>
      <c r="E2" s="82"/>
      <c r="F2" s="82"/>
      <c r="G2" s="82"/>
      <c r="H2" s="82"/>
      <c r="I2" s="82"/>
      <c r="J2" s="210"/>
    </row>
    <row r="3" spans="1:10" s="56" customFormat="1" ht="14" thickBot="1">
      <c r="A3" s="360" t="s">
        <v>433</v>
      </c>
      <c r="B3" s="361"/>
      <c r="C3" s="362"/>
      <c r="D3" s="362"/>
      <c r="E3" s="362"/>
      <c r="F3" s="362"/>
      <c r="G3" s="362"/>
      <c r="H3" s="362"/>
      <c r="I3" s="362"/>
      <c r="J3" s="363"/>
    </row>
    <row r="4" spans="1:10" s="56" customFormat="1" ht="13">
      <c r="A4" s="57"/>
      <c r="B4" s="57" t="s">
        <v>180</v>
      </c>
      <c r="C4" s="172" t="s">
        <v>181</v>
      </c>
      <c r="D4" s="82"/>
      <c r="E4" s="82"/>
      <c r="F4" s="82"/>
      <c r="G4" s="82"/>
      <c r="H4" s="82"/>
      <c r="I4" s="82"/>
    </row>
    <row r="5" spans="1:10" s="56" customFormat="1" ht="13">
      <c r="A5" s="156" t="s">
        <v>448</v>
      </c>
      <c r="B5" s="232" t="s">
        <v>349</v>
      </c>
      <c r="C5" s="172"/>
      <c r="D5" s="82"/>
      <c r="E5" s="82"/>
      <c r="F5" s="82"/>
      <c r="G5" s="82"/>
      <c r="H5" s="82"/>
      <c r="I5" s="82"/>
    </row>
    <row r="6" spans="1:10" s="56" customFormat="1" ht="13">
      <c r="A6" s="156" t="s">
        <v>438</v>
      </c>
      <c r="B6" s="157" t="s">
        <v>563</v>
      </c>
      <c r="C6" s="82"/>
      <c r="D6" s="82"/>
      <c r="E6" s="82"/>
      <c r="F6" s="82"/>
      <c r="G6" s="82"/>
      <c r="H6" s="82"/>
      <c r="I6" s="82"/>
    </row>
    <row r="7" spans="1:10" s="56" customFormat="1" ht="13">
      <c r="A7" s="156" t="s">
        <v>439</v>
      </c>
      <c r="B7" s="157" t="s">
        <v>563</v>
      </c>
      <c r="C7" s="246" t="s">
        <v>397</v>
      </c>
      <c r="D7" s="246" t="s">
        <v>624</v>
      </c>
      <c r="E7" s="82"/>
      <c r="F7" s="82"/>
      <c r="G7" s="82"/>
      <c r="H7" s="82"/>
      <c r="I7" s="82"/>
    </row>
    <row r="8" spans="1:10" s="56" customFormat="1" ht="13">
      <c r="A8" s="60" t="s">
        <v>11</v>
      </c>
      <c r="B8" s="61">
        <v>14220</v>
      </c>
      <c r="C8" s="85">
        <v>14768</v>
      </c>
      <c r="D8" s="245">
        <v>0.75</v>
      </c>
    </row>
    <row r="9" spans="1:10" s="56" customFormat="1" ht="13">
      <c r="A9" s="60" t="s">
        <v>29</v>
      </c>
      <c r="B9" s="61">
        <v>3450</v>
      </c>
      <c r="C9" s="85">
        <v>3604</v>
      </c>
      <c r="D9" s="245">
        <v>0.75</v>
      </c>
    </row>
    <row r="10" spans="1:10" s="56" customFormat="1" ht="13">
      <c r="A10" s="60" t="s">
        <v>441</v>
      </c>
      <c r="B10" s="85">
        <v>233</v>
      </c>
      <c r="C10" s="85">
        <v>257</v>
      </c>
      <c r="D10" s="62"/>
    </row>
    <row r="11" spans="1:10" s="56" customFormat="1" ht="13">
      <c r="A11" s="60" t="s">
        <v>30</v>
      </c>
      <c r="B11" s="61">
        <v>2966</v>
      </c>
      <c r="C11" s="85">
        <v>3254</v>
      </c>
      <c r="D11" s="62"/>
    </row>
    <row r="12" spans="1:10" s="56" customFormat="1" ht="13">
      <c r="A12" s="60" t="s">
        <v>31</v>
      </c>
      <c r="B12" s="61">
        <v>7643</v>
      </c>
      <c r="C12" s="85">
        <v>6029</v>
      </c>
      <c r="D12" s="62"/>
    </row>
    <row r="13" spans="1:10" s="56" customFormat="1" ht="13">
      <c r="A13" s="160" t="s">
        <v>428</v>
      </c>
      <c r="B13" s="198" t="s">
        <v>59</v>
      </c>
      <c r="C13" s="199" t="s">
        <v>429</v>
      </c>
      <c r="D13" s="62"/>
    </row>
    <row r="14" spans="1:10" s="56" customFormat="1" ht="13">
      <c r="A14" s="60" t="s">
        <v>246</v>
      </c>
      <c r="B14" s="85" t="s">
        <v>53</v>
      </c>
      <c r="C14" s="62" t="s">
        <v>249</v>
      </c>
      <c r="D14" s="62"/>
    </row>
    <row r="15" spans="1:10" s="56" customFormat="1" ht="13">
      <c r="A15" s="60" t="s">
        <v>607</v>
      </c>
      <c r="B15" s="85">
        <v>1825</v>
      </c>
      <c r="C15" s="85">
        <v>1504</v>
      </c>
      <c r="D15" s="62"/>
    </row>
    <row r="16" spans="1:10" s="56" customFormat="1" ht="13">
      <c r="A16" s="60" t="s">
        <v>608</v>
      </c>
      <c r="B16" s="173">
        <v>0</v>
      </c>
      <c r="C16" s="85">
        <v>0</v>
      </c>
      <c r="D16" s="62"/>
    </row>
    <row r="17" spans="1:11" s="56" customFormat="1" ht="13">
      <c r="A17" s="60" t="s">
        <v>393</v>
      </c>
      <c r="B17" s="173">
        <v>0</v>
      </c>
      <c r="C17" s="85">
        <v>0</v>
      </c>
      <c r="D17" s="62"/>
    </row>
    <row r="18" spans="1:11" s="56" customFormat="1" ht="13">
      <c r="A18" s="60" t="s">
        <v>763</v>
      </c>
      <c r="B18" s="173">
        <v>283</v>
      </c>
      <c r="C18" s="358"/>
      <c r="D18" s="62"/>
    </row>
    <row r="19" spans="1:11" s="56" customFormat="1" ht="14" thickBot="1">
      <c r="A19" s="60" t="s">
        <v>32</v>
      </c>
      <c r="B19" s="158">
        <v>321.41000000000003</v>
      </c>
      <c r="C19" s="62"/>
    </row>
    <row r="20" spans="1:11" s="56" customFormat="1" ht="13">
      <c r="A20" s="60" t="s">
        <v>33</v>
      </c>
      <c r="B20" s="61">
        <v>179.82</v>
      </c>
      <c r="C20" s="62"/>
      <c r="E20" s="86" t="s">
        <v>245</v>
      </c>
      <c r="F20" s="54"/>
      <c r="G20" s="54"/>
      <c r="H20" s="54"/>
      <c r="I20" s="54"/>
      <c r="J20" s="54"/>
      <c r="K20" s="55"/>
    </row>
    <row r="21" spans="1:11" s="56" customFormat="1" ht="13">
      <c r="A21" s="63" t="s">
        <v>106</v>
      </c>
      <c r="B21" s="64">
        <v>0.24</v>
      </c>
      <c r="C21" s="62"/>
      <c r="E21" s="207" t="s">
        <v>432</v>
      </c>
      <c r="F21" s="82"/>
      <c r="G21" s="82"/>
      <c r="H21" s="82"/>
      <c r="I21" s="82"/>
      <c r="J21" s="82"/>
      <c r="K21" s="88"/>
    </row>
    <row r="22" spans="1:11" s="56" customFormat="1" ht="13">
      <c r="A22" s="63" t="s">
        <v>107</v>
      </c>
      <c r="B22" s="64">
        <v>0.25</v>
      </c>
      <c r="C22" s="62"/>
      <c r="E22" s="155"/>
      <c r="F22" s="82"/>
      <c r="G22" s="82"/>
      <c r="H22" s="82"/>
      <c r="I22" s="160" t="s">
        <v>241</v>
      </c>
      <c r="J22" s="160" t="s">
        <v>243</v>
      </c>
      <c r="K22" s="88" t="s">
        <v>440</v>
      </c>
    </row>
    <row r="23" spans="1:11" s="56" customFormat="1" ht="13">
      <c r="A23" s="65" t="s">
        <v>35</v>
      </c>
      <c r="B23" s="66"/>
      <c r="C23" s="62"/>
      <c r="E23" s="87" t="s">
        <v>176</v>
      </c>
      <c r="F23" s="82"/>
      <c r="G23" s="82"/>
      <c r="H23" s="82"/>
      <c r="I23" s="259">
        <f>IF(C8&gt;0,(B8/C8)^(1/D8)-1, "NA")</f>
        <v>-4.916779365691426E-2</v>
      </c>
      <c r="J23" s="259">
        <f>VLOOKUP(B6,'Industry Average Beta (US)'!A2:S95,3)</f>
        <v>4.0133466666666687E-2</v>
      </c>
      <c r="K23" s="260">
        <f>VLOOKUP(B7,'Industry Average Beta (Global)'!A2:N95,3)</f>
        <v>6.0073129459735045E-2</v>
      </c>
    </row>
    <row r="24" spans="1:11" s="56" customFormat="1" ht="13">
      <c r="A24" s="60" t="s">
        <v>49</v>
      </c>
      <c r="B24" s="67">
        <v>0.06</v>
      </c>
      <c r="C24" s="62" t="s">
        <v>611</v>
      </c>
      <c r="E24" s="87" t="s">
        <v>177</v>
      </c>
      <c r="F24" s="82"/>
      <c r="G24" s="82"/>
      <c r="H24" s="82"/>
      <c r="I24" s="259">
        <f>'Valuation output'!B4</f>
        <v>0.24316455696202532</v>
      </c>
      <c r="J24" s="260">
        <f>VLOOKUP(B6,'Industry Average Beta (US)'!A2:S95,4)</f>
        <v>0.13852289655304456</v>
      </c>
      <c r="K24" s="260">
        <f>VLOOKUP(B7,'Industry Average Beta (Global)'!A2:N95,4)</f>
        <v>9.9690044616789E-2</v>
      </c>
    </row>
    <row r="25" spans="1:11" s="56" customFormat="1" ht="13">
      <c r="A25" s="60" t="s">
        <v>51</v>
      </c>
      <c r="B25" s="67">
        <v>0.23</v>
      </c>
      <c r="C25" s="62" t="s">
        <v>609</v>
      </c>
      <c r="E25" s="87" t="s">
        <v>178</v>
      </c>
      <c r="F25" s="82"/>
      <c r="G25" s="82"/>
      <c r="H25" s="82"/>
      <c r="I25" s="261">
        <f>B8/'Valuation output'!B39</f>
        <v>1.5013936987921277</v>
      </c>
      <c r="J25" s="261">
        <f>VLOOKUP(B6,'Industry Average Beta (US)'!A2:S95,14)</f>
        <v>2.1027953849357077</v>
      </c>
      <c r="K25" s="261">
        <f>VLOOKUP(B7,'Industry Average Beta (Global)'!A2:N95,14)</f>
        <v>1.6371372140788156</v>
      </c>
    </row>
    <row r="26" spans="1:11" s="56" customFormat="1" ht="13">
      <c r="A26" s="60" t="s">
        <v>685</v>
      </c>
      <c r="B26" s="68">
        <v>5</v>
      </c>
      <c r="C26" s="62" t="s">
        <v>686</v>
      </c>
      <c r="E26" s="87" t="s">
        <v>179</v>
      </c>
      <c r="F26" s="82"/>
      <c r="G26" s="82"/>
      <c r="H26" s="82"/>
      <c r="I26" s="260">
        <f>'Valuation output'!B7/'Valuation output'!B39</f>
        <v>0.27746515753019685</v>
      </c>
      <c r="J26" s="260">
        <f>VLOOKUP(B6,'Industry Average Beta (US)'!A2:S95,5)</f>
        <v>0.25823556476988108</v>
      </c>
      <c r="K26" s="260">
        <f>VLOOKUP(B7,'Industry Average Beta (Global)'!A2:N95,5)</f>
        <v>0.13713414635173929</v>
      </c>
    </row>
    <row r="27" spans="1:11" s="56" customFormat="1" ht="13">
      <c r="A27" s="60" t="s">
        <v>37</v>
      </c>
      <c r="B27" s="68">
        <f>I25</f>
        <v>1.5013936987921277</v>
      </c>
      <c r="C27" s="62" t="s">
        <v>610</v>
      </c>
      <c r="E27" s="87" t="s">
        <v>386</v>
      </c>
      <c r="F27" s="82"/>
      <c r="G27" s="82"/>
      <c r="H27" s="82"/>
      <c r="I27" s="168"/>
      <c r="J27" s="262">
        <f>VLOOKUP(B6,'Industry Average Beta (US)'!A2:S95,10)</f>
        <v>0.34355380440821015</v>
      </c>
      <c r="K27" s="260">
        <f>VLOOKUP(B6,'Industry Average Beta (Global)'!A2:Z95,10)</f>
        <v>0.37251044494171548</v>
      </c>
    </row>
    <row r="28" spans="1:11" s="56" customFormat="1" ht="14" thickBot="1">
      <c r="A28" s="65" t="s">
        <v>36</v>
      </c>
      <c r="B28" s="69"/>
      <c r="C28" s="62"/>
      <c r="E28" s="58" t="s">
        <v>385</v>
      </c>
      <c r="F28" s="59"/>
      <c r="G28" s="59"/>
      <c r="H28" s="59"/>
      <c r="I28" s="59"/>
      <c r="J28" s="263">
        <f>VLOOKUP(B6,'Industry Average Beta (US)'!A2:S95,13)</f>
        <v>8.2721392844834263E-2</v>
      </c>
      <c r="K28" s="260">
        <f>VLOOKUP(B6,'Industry Average Beta (Global)'!A2:Z95,13)</f>
        <v>0.10105777485900676</v>
      </c>
    </row>
    <row r="29" spans="1:11" s="56" customFormat="1" ht="14" thickBot="1">
      <c r="A29" s="60" t="s">
        <v>27</v>
      </c>
      <c r="B29" s="67">
        <v>1.67E-2</v>
      </c>
      <c r="C29" s="62"/>
    </row>
    <row r="30" spans="1:11" s="56" customFormat="1" ht="13">
      <c r="A30" s="60" t="s">
        <v>39</v>
      </c>
      <c r="B30" s="159">
        <f>'Cost of capital worksheet'!E50</f>
        <v>7.5779316965438576E-2</v>
      </c>
      <c r="C30" s="62"/>
      <c r="E30" s="364" t="s">
        <v>612</v>
      </c>
      <c r="F30" s="365"/>
      <c r="G30" s="365"/>
      <c r="H30" s="365"/>
      <c r="I30" s="365"/>
      <c r="J30" s="366"/>
    </row>
    <row r="31" spans="1:11" s="56" customFormat="1" ht="13">
      <c r="A31" s="65" t="s">
        <v>91</v>
      </c>
      <c r="B31" s="70"/>
      <c r="C31" s="70"/>
      <c r="D31" s="62"/>
      <c r="E31" s="247" t="s">
        <v>613</v>
      </c>
      <c r="F31" s="63"/>
      <c r="G31" s="63"/>
      <c r="H31" s="63"/>
      <c r="I31" s="63"/>
      <c r="J31" s="258">
        <f>'Valuation output'!M3</f>
        <v>22861.994269672869</v>
      </c>
    </row>
    <row r="32" spans="1:11" s="56" customFormat="1" ht="13">
      <c r="A32" s="63" t="s">
        <v>248</v>
      </c>
      <c r="B32" s="159" t="s">
        <v>53</v>
      </c>
      <c r="C32"/>
      <c r="D32" s="62"/>
      <c r="E32" s="247" t="s">
        <v>615</v>
      </c>
      <c r="F32" s="63"/>
      <c r="G32" s="63"/>
      <c r="H32" s="63"/>
      <c r="I32" s="63"/>
      <c r="J32" s="258">
        <f>'Valuation output'!M5</f>
        <v>5258.2586820247598</v>
      </c>
    </row>
    <row r="33" spans="1:14" s="56" customFormat="1" ht="13">
      <c r="A33" s="63" t="s">
        <v>92</v>
      </c>
      <c r="B33" s="68">
        <v>23.5</v>
      </c>
      <c r="C33" s="257"/>
      <c r="D33" s="62"/>
      <c r="E33" s="247" t="s">
        <v>614</v>
      </c>
      <c r="F33" s="63"/>
      <c r="G33" s="63"/>
      <c r="H33" s="63"/>
      <c r="I33" s="63"/>
      <c r="J33" s="259">
        <f>'Valuation output'!L40</f>
        <v>0.258990413041642</v>
      </c>
    </row>
    <row r="34" spans="1:14" s="56" customFormat="1" ht="14" thickBot="1">
      <c r="A34" s="63" t="s">
        <v>93</v>
      </c>
      <c r="B34" s="71">
        <v>17.03</v>
      </c>
      <c r="C34" s="256"/>
      <c r="D34" s="62"/>
      <c r="E34" s="248" t="s">
        <v>616</v>
      </c>
      <c r="F34" s="59"/>
      <c r="G34" s="59"/>
      <c r="H34" s="59"/>
      <c r="I34" s="59"/>
      <c r="J34" s="249"/>
    </row>
    <row r="35" spans="1:14" s="56" customFormat="1" ht="13">
      <c r="A35" s="63" t="s">
        <v>94</v>
      </c>
      <c r="B35" s="68">
        <v>4.5</v>
      </c>
      <c r="C35" s="257"/>
      <c r="D35" s="62"/>
    </row>
    <row r="36" spans="1:14" s="56" customFormat="1" ht="13">
      <c r="A36" s="63" t="s">
        <v>95</v>
      </c>
      <c r="B36" s="67">
        <v>0.35</v>
      </c>
      <c r="C36" s="62"/>
    </row>
    <row r="37" spans="1:14" s="56" customFormat="1" ht="13">
      <c r="A37" s="63"/>
      <c r="B37" s="72"/>
      <c r="C37" s="70"/>
      <c r="D37" s="62"/>
    </row>
    <row r="38" spans="1:14" s="74" customFormat="1" ht="13">
      <c r="A38" s="359" t="s">
        <v>108</v>
      </c>
      <c r="B38" s="359"/>
      <c r="C38" s="83"/>
      <c r="D38" s="62"/>
      <c r="H38" s="56"/>
      <c r="I38" s="56"/>
      <c r="J38" s="56"/>
      <c r="K38" s="56"/>
      <c r="L38" s="56"/>
      <c r="M38" s="56"/>
      <c r="N38" s="56"/>
    </row>
    <row r="39" spans="1:14" s="56" customFormat="1" ht="13">
      <c r="A39" s="73" t="s">
        <v>109</v>
      </c>
      <c r="B39" s="73"/>
      <c r="C39" s="84"/>
      <c r="D39" s="62"/>
    </row>
    <row r="40" spans="1:14" s="56" customFormat="1" ht="13">
      <c r="A40" s="75" t="s">
        <v>40</v>
      </c>
      <c r="B40" s="76" t="s">
        <v>53</v>
      </c>
      <c r="C40" s="62" t="s">
        <v>56</v>
      </c>
      <c r="N40" s="74"/>
    </row>
    <row r="41" spans="1:14" s="74" customFormat="1" ht="13">
      <c r="A41" s="75" t="s">
        <v>42</v>
      </c>
      <c r="B41" s="77">
        <v>0.08</v>
      </c>
      <c r="C41" s="62" t="s">
        <v>145</v>
      </c>
      <c r="D41" s="56"/>
      <c r="N41" s="56"/>
    </row>
    <row r="42" spans="1:14" s="56" customFormat="1" ht="13">
      <c r="A42" s="74" t="s">
        <v>110</v>
      </c>
      <c r="B42" s="74"/>
      <c r="C42" s="62"/>
      <c r="D42" s="74"/>
    </row>
    <row r="43" spans="1:14" s="56" customFormat="1" ht="13">
      <c r="A43" s="56" t="s">
        <v>40</v>
      </c>
      <c r="B43" s="76" t="s">
        <v>53</v>
      </c>
      <c r="C43" s="62" t="s">
        <v>55</v>
      </c>
      <c r="N43" s="74"/>
    </row>
    <row r="44" spans="1:14" s="56" customFormat="1" ht="13">
      <c r="A44" s="56" t="s">
        <v>41</v>
      </c>
      <c r="B44" s="77">
        <v>0.2</v>
      </c>
      <c r="C44" s="62" t="s">
        <v>146</v>
      </c>
      <c r="H44" s="74"/>
      <c r="I44" s="74"/>
      <c r="J44" s="74"/>
      <c r="K44" s="74"/>
      <c r="L44" s="74"/>
      <c r="M44" s="74"/>
    </row>
    <row r="45" spans="1:14" s="56" customFormat="1" ht="13">
      <c r="A45" s="74" t="s">
        <v>141</v>
      </c>
      <c r="C45" s="62"/>
    </row>
    <row r="46" spans="1:14" s="56" customFormat="1" ht="13">
      <c r="A46" s="56" t="s">
        <v>40</v>
      </c>
      <c r="B46" s="76" t="s">
        <v>53</v>
      </c>
      <c r="C46" s="62" t="s">
        <v>116</v>
      </c>
    </row>
    <row r="47" spans="1:14" s="56" customFormat="1" ht="13">
      <c r="A47" s="56" t="s">
        <v>111</v>
      </c>
      <c r="B47" s="77">
        <v>0.2</v>
      </c>
      <c r="C47" s="62" t="s">
        <v>57</v>
      </c>
    </row>
    <row r="48" spans="1:14" s="56" customFormat="1" ht="13">
      <c r="A48" s="56" t="s">
        <v>114</v>
      </c>
      <c r="B48" s="77" t="s">
        <v>238</v>
      </c>
      <c r="C48" s="62" t="s">
        <v>105</v>
      </c>
    </row>
    <row r="49" spans="1:14" s="56" customFormat="1" ht="13">
      <c r="A49" s="56" t="s">
        <v>239</v>
      </c>
      <c r="B49" s="77">
        <v>0.5</v>
      </c>
      <c r="C49" s="62" t="s">
        <v>115</v>
      </c>
    </row>
    <row r="50" spans="1:14" s="56" customFormat="1" ht="13">
      <c r="A50" s="74" t="s">
        <v>143</v>
      </c>
      <c r="B50" s="78"/>
      <c r="C50" s="62"/>
    </row>
    <row r="51" spans="1:14" s="56" customFormat="1" ht="13">
      <c r="A51" s="56" t="s">
        <v>40</v>
      </c>
      <c r="B51" s="77" t="s">
        <v>53</v>
      </c>
      <c r="C51" s="62"/>
    </row>
    <row r="52" spans="1:14" s="56" customFormat="1" ht="13">
      <c r="A52" s="74" t="s">
        <v>140</v>
      </c>
      <c r="C52" s="62"/>
    </row>
    <row r="53" spans="1:14" s="56" customFormat="1" ht="13">
      <c r="A53" s="56" t="s">
        <v>40</v>
      </c>
      <c r="B53" s="76" t="s">
        <v>53</v>
      </c>
      <c r="C53" s="62" t="s">
        <v>58</v>
      </c>
    </row>
    <row r="54" spans="1:14" s="56" customFormat="1" ht="13">
      <c r="A54" s="56" t="s">
        <v>50</v>
      </c>
      <c r="B54" s="71">
        <v>250</v>
      </c>
      <c r="C54" s="62" t="s">
        <v>147</v>
      </c>
    </row>
    <row r="55" spans="1:14" s="56" customFormat="1" ht="13">
      <c r="A55" s="56" t="s">
        <v>620</v>
      </c>
      <c r="B55" s="256"/>
      <c r="C55" s="62"/>
    </row>
    <row r="56" spans="1:14" s="56" customFormat="1" ht="13">
      <c r="A56" s="56" t="s">
        <v>40</v>
      </c>
      <c r="B56" s="71" t="s">
        <v>53</v>
      </c>
      <c r="C56" s="62"/>
    </row>
    <row r="57" spans="1:14" s="250" customFormat="1" ht="13">
      <c r="A57" s="56" t="s">
        <v>621</v>
      </c>
      <c r="B57" s="255">
        <v>0.01</v>
      </c>
      <c r="C57" s="62" t="s">
        <v>622</v>
      </c>
      <c r="D57" s="56"/>
      <c r="H57" s="74"/>
      <c r="I57" s="74"/>
      <c r="J57" s="74"/>
      <c r="K57" s="74"/>
      <c r="L57" s="74"/>
      <c r="M57" s="74"/>
      <c r="N57" s="74"/>
    </row>
    <row r="58" spans="1:14" ht="13">
      <c r="A58" s="250" t="s">
        <v>625</v>
      </c>
      <c r="B58" s="250"/>
      <c r="C58" s="250"/>
      <c r="D58" s="250"/>
      <c r="H58" s="56"/>
      <c r="I58" s="56"/>
      <c r="J58" s="56"/>
      <c r="K58" s="56"/>
      <c r="L58" s="56"/>
      <c r="M58" s="56"/>
      <c r="N58" s="56"/>
    </row>
    <row r="59" spans="1:14" ht="13">
      <c r="A59" s="4" t="s">
        <v>617</v>
      </c>
      <c r="B59" s="251" t="s">
        <v>53</v>
      </c>
      <c r="H59" s="56"/>
      <c r="I59" s="56"/>
      <c r="J59" s="56"/>
      <c r="K59" s="56"/>
      <c r="L59" s="56"/>
      <c r="M59" s="56"/>
    </row>
    <row r="60" spans="1:14">
      <c r="A60" s="4" t="s">
        <v>628</v>
      </c>
      <c r="B60" s="183">
        <v>140000</v>
      </c>
      <c r="C60" s="265" t="s">
        <v>626</v>
      </c>
    </row>
    <row r="61" spans="1:14">
      <c r="A61" s="264" t="s">
        <v>618</v>
      </c>
      <c r="B61" s="252">
        <v>0.15</v>
      </c>
      <c r="C61" s="265" t="s">
        <v>627</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topLeftCell="A60"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743</v>
      </c>
      <c r="B1" s="349">
        <v>5.1999999999999998E-2</v>
      </c>
    </row>
    <row r="4" spans="1:7" ht="16">
      <c r="A4" s="353" t="s">
        <v>354</v>
      </c>
      <c r="B4" s="50" t="s">
        <v>687</v>
      </c>
      <c r="C4" s="353" t="s">
        <v>355</v>
      </c>
      <c r="D4" s="339" t="s">
        <v>688</v>
      </c>
      <c r="E4" s="340" t="s">
        <v>356</v>
      </c>
      <c r="F4" s="340" t="s">
        <v>619</v>
      </c>
      <c r="G4" s="341" t="s">
        <v>357</v>
      </c>
    </row>
    <row r="5" spans="1:7" ht="16">
      <c r="A5" s="44" t="s">
        <v>487</v>
      </c>
      <c r="B5" s="50" t="s">
        <v>689</v>
      </c>
      <c r="C5" s="354">
        <v>5.5987260310332385E-3</v>
      </c>
      <c r="D5" s="342">
        <f>$D$173+E5</f>
        <v>5.8886857967356196E-2</v>
      </c>
      <c r="E5" s="356">
        <v>6.8868579673562009E-3</v>
      </c>
      <c r="F5" s="356">
        <v>0.55000000000000004</v>
      </c>
      <c r="G5" s="1" t="s">
        <v>365</v>
      </c>
    </row>
    <row r="6" spans="1:7" ht="16">
      <c r="A6" s="44" t="s">
        <v>250</v>
      </c>
      <c r="B6" s="50" t="s">
        <v>690</v>
      </c>
      <c r="C6" s="354">
        <v>5.0795714354283386E-2</v>
      </c>
      <c r="D6" s="342">
        <f t="shared" ref="D6:D69" si="0">$D$173+E6</f>
        <v>0.11448258410383172</v>
      </c>
      <c r="E6" s="356">
        <v>6.2482584103831722E-2</v>
      </c>
      <c r="F6" s="356">
        <v>0.15</v>
      </c>
      <c r="G6" s="1" t="s">
        <v>359</v>
      </c>
    </row>
    <row r="7" spans="1:7" ht="16">
      <c r="A7" s="355" t="s">
        <v>691</v>
      </c>
      <c r="B7" s="50" t="s">
        <v>100</v>
      </c>
      <c r="C7" s="287">
        <v>6.2094961435095908E-2</v>
      </c>
      <c r="D7" s="342">
        <f t="shared" si="0"/>
        <v>0.12838151563795058</v>
      </c>
      <c r="E7" s="3">
        <v>7.6381515637950578E-2</v>
      </c>
      <c r="F7" s="357">
        <v>0.26</v>
      </c>
      <c r="G7" s="1" t="s">
        <v>360</v>
      </c>
    </row>
    <row r="8" spans="1:7" ht="16">
      <c r="A8" s="44" t="s">
        <v>506</v>
      </c>
      <c r="B8" s="50" t="s">
        <v>692</v>
      </c>
      <c r="C8" s="354">
        <v>2.147874895541842E-2</v>
      </c>
      <c r="D8" s="342">
        <f t="shared" si="0"/>
        <v>7.8420491474766513E-2</v>
      </c>
      <c r="E8" s="356">
        <v>2.6420491474766512E-2</v>
      </c>
      <c r="F8" s="356">
        <v>0.1</v>
      </c>
      <c r="G8" s="1" t="s">
        <v>358</v>
      </c>
    </row>
    <row r="9" spans="1:7" ht="16">
      <c r="A9" s="44" t="s">
        <v>251</v>
      </c>
      <c r="B9" s="50" t="s">
        <v>703</v>
      </c>
      <c r="C9" s="354">
        <v>7.3394208515908457E-2</v>
      </c>
      <c r="D9" s="342">
        <f t="shared" si="0"/>
        <v>0.14228044717206947</v>
      </c>
      <c r="E9" s="356">
        <v>9.028044717206947E-2</v>
      </c>
      <c r="F9" s="356">
        <v>0.3</v>
      </c>
      <c r="G9" s="1" t="s">
        <v>360</v>
      </c>
    </row>
    <row r="10" spans="1:7" ht="16">
      <c r="A10" s="44" t="s">
        <v>252</v>
      </c>
      <c r="B10" s="50" t="s">
        <v>693</v>
      </c>
      <c r="C10" s="354">
        <v>6.2094961435095908E-2</v>
      </c>
      <c r="D10" s="342">
        <f t="shared" si="0"/>
        <v>0.12838151563795058</v>
      </c>
      <c r="E10" s="356">
        <v>7.6381515637950578E-2</v>
      </c>
      <c r="F10" s="356">
        <v>0.3</v>
      </c>
      <c r="G10" s="1" t="s">
        <v>361</v>
      </c>
    </row>
    <row r="11" spans="1:7" ht="16">
      <c r="A11" s="44" t="s">
        <v>253</v>
      </c>
      <c r="B11" s="50" t="s">
        <v>690</v>
      </c>
      <c r="C11" s="354">
        <v>5.0795714354283386E-2</v>
      </c>
      <c r="D11" s="342">
        <f t="shared" si="0"/>
        <v>0.11448258410383172</v>
      </c>
      <c r="E11" s="356">
        <v>6.2482584103831722E-2</v>
      </c>
      <c r="F11" s="356">
        <v>0.2</v>
      </c>
      <c r="G11" s="1" t="s">
        <v>359</v>
      </c>
    </row>
    <row r="12" spans="1:7" ht="16">
      <c r="A12" s="44" t="s">
        <v>254</v>
      </c>
      <c r="B12" s="50" t="s">
        <v>694</v>
      </c>
      <c r="C12" s="354">
        <v>1.8017718318052423E-2</v>
      </c>
      <c r="D12" s="342">
        <f t="shared" si="0"/>
        <v>7.416316109494632E-2</v>
      </c>
      <c r="E12" s="356">
        <v>2.2163161094946322E-2</v>
      </c>
      <c r="F12" s="356">
        <v>0.25</v>
      </c>
      <c r="G12" s="1" t="s">
        <v>364</v>
      </c>
    </row>
    <row r="13" spans="1:7" ht="16">
      <c r="A13" s="44" t="s">
        <v>255</v>
      </c>
      <c r="B13" s="50" t="s">
        <v>695</v>
      </c>
      <c r="C13" s="354">
        <v>0</v>
      </c>
      <c r="D13" s="342">
        <f t="shared" si="0"/>
        <v>5.1999999999999998E-2</v>
      </c>
      <c r="E13" s="356">
        <v>0</v>
      </c>
      <c r="F13" s="356">
        <v>0.3</v>
      </c>
      <c r="G13" s="1" t="s">
        <v>362</v>
      </c>
    </row>
    <row r="14" spans="1:7" ht="16">
      <c r="A14" s="44" t="s">
        <v>256</v>
      </c>
      <c r="B14" s="50" t="s">
        <v>696</v>
      </c>
      <c r="C14" s="354">
        <v>4.4789808248265903E-3</v>
      </c>
      <c r="D14" s="342">
        <f t="shared" si="0"/>
        <v>5.7509486373884956E-2</v>
      </c>
      <c r="E14" s="356">
        <v>5.5094863738849604E-3</v>
      </c>
      <c r="F14" s="356">
        <v>0.25</v>
      </c>
      <c r="G14" s="1" t="s">
        <v>358</v>
      </c>
    </row>
    <row r="15" spans="1:7" ht="16">
      <c r="A15" s="44" t="s">
        <v>363</v>
      </c>
      <c r="B15" s="50" t="s">
        <v>697</v>
      </c>
      <c r="C15" s="354">
        <v>3.3897741242437607E-2</v>
      </c>
      <c r="D15" s="342">
        <f t="shared" si="0"/>
        <v>9.3696794602356637E-2</v>
      </c>
      <c r="E15" s="356">
        <v>4.1696794602356632E-2</v>
      </c>
      <c r="F15" s="356">
        <v>0.2</v>
      </c>
      <c r="G15" s="1" t="s">
        <v>359</v>
      </c>
    </row>
    <row r="16" spans="1:7" ht="16">
      <c r="A16" s="44" t="s">
        <v>257</v>
      </c>
      <c r="B16" s="50" t="s">
        <v>698</v>
      </c>
      <c r="C16" s="354">
        <v>2.4837984574038366E-2</v>
      </c>
      <c r="D16" s="342">
        <f t="shared" si="0"/>
        <v>8.2552606255180239E-2</v>
      </c>
      <c r="E16" s="356">
        <v>3.0552606255180234E-2</v>
      </c>
      <c r="F16" s="356">
        <v>0</v>
      </c>
      <c r="G16" s="1" t="s">
        <v>364</v>
      </c>
    </row>
    <row r="17" spans="1:7" ht="16">
      <c r="A17" s="44" t="s">
        <v>258</v>
      </c>
      <c r="B17" s="50" t="s">
        <v>693</v>
      </c>
      <c r="C17" s="354">
        <v>6.2094961435095908E-2</v>
      </c>
      <c r="D17" s="342">
        <f t="shared" si="0"/>
        <v>0.12838151563795058</v>
      </c>
      <c r="E17" s="356">
        <v>7.6381515637950578E-2</v>
      </c>
      <c r="F17" s="356">
        <v>0</v>
      </c>
      <c r="G17" s="1" t="s">
        <v>365</v>
      </c>
    </row>
    <row r="18" spans="1:7" ht="16">
      <c r="A18" s="44" t="s">
        <v>259</v>
      </c>
      <c r="B18" s="50" t="s">
        <v>699</v>
      </c>
      <c r="C18" s="354">
        <v>4.0616212479677498E-2</v>
      </c>
      <c r="D18" s="342">
        <f t="shared" si="0"/>
        <v>0.10196102416318409</v>
      </c>
      <c r="E18" s="356">
        <v>4.9961024163184084E-2</v>
      </c>
      <c r="F18" s="356">
        <v>0.25</v>
      </c>
      <c r="G18" s="1" t="s">
        <v>434</v>
      </c>
    </row>
    <row r="19" spans="1:7" ht="16">
      <c r="A19" s="44" t="s">
        <v>260</v>
      </c>
      <c r="B19" s="50" t="s">
        <v>700</v>
      </c>
      <c r="C19" s="354">
        <v>0.11278888077063325</v>
      </c>
      <c r="D19" s="342">
        <f t="shared" si="0"/>
        <v>0.19073888414237583</v>
      </c>
      <c r="E19" s="356">
        <v>0.13873888414237584</v>
      </c>
      <c r="F19" s="356">
        <v>0.3</v>
      </c>
      <c r="G19" s="1" t="s">
        <v>364</v>
      </c>
    </row>
    <row r="20" spans="1:7" ht="16">
      <c r="A20" s="44" t="s">
        <v>261</v>
      </c>
      <c r="B20" s="50" t="s">
        <v>703</v>
      </c>
      <c r="C20" s="354">
        <v>7.3394208515908457E-2</v>
      </c>
      <c r="D20" s="342">
        <f t="shared" si="0"/>
        <v>0.14228044717206947</v>
      </c>
      <c r="E20" s="356">
        <v>9.028044717206947E-2</v>
      </c>
      <c r="F20" s="356">
        <v>0.18</v>
      </c>
      <c r="G20" s="1" t="s">
        <v>359</v>
      </c>
    </row>
    <row r="21" spans="1:7" ht="16">
      <c r="A21" s="44" t="s">
        <v>262</v>
      </c>
      <c r="B21" s="50" t="s">
        <v>702</v>
      </c>
      <c r="C21" s="354">
        <v>6.8202662559859444E-3</v>
      </c>
      <c r="D21" s="342">
        <f t="shared" si="0"/>
        <v>6.0389445160233916E-2</v>
      </c>
      <c r="E21" s="356">
        <v>8.389445160233917E-3</v>
      </c>
      <c r="F21" s="356">
        <v>0.28999999999999998</v>
      </c>
      <c r="G21" s="1" t="s">
        <v>358</v>
      </c>
    </row>
    <row r="22" spans="1:7" ht="16">
      <c r="A22" s="44" t="s">
        <v>366</v>
      </c>
      <c r="B22" s="50" t="s">
        <v>703</v>
      </c>
      <c r="C22" s="354">
        <v>7.3394208515908457E-2</v>
      </c>
      <c r="D22" s="342">
        <f t="shared" si="0"/>
        <v>0.14228044717206947</v>
      </c>
      <c r="E22" s="356">
        <v>9.028044717206947E-2</v>
      </c>
      <c r="F22" s="356">
        <v>0.28210000000000002</v>
      </c>
      <c r="G22" s="1" t="s">
        <v>361</v>
      </c>
    </row>
    <row r="23" spans="1:7" ht="16">
      <c r="A23" s="44" t="s">
        <v>704</v>
      </c>
      <c r="B23" s="50" t="s">
        <v>690</v>
      </c>
      <c r="C23" s="354">
        <v>5.0795714354283386E-2</v>
      </c>
      <c r="D23" s="342">
        <f t="shared" si="0"/>
        <v>0.11448258410383172</v>
      </c>
      <c r="E23" s="356">
        <v>6.2482584103831722E-2</v>
      </c>
      <c r="F23" s="356">
        <v>0.3</v>
      </c>
      <c r="G23" s="1" t="s">
        <v>360</v>
      </c>
    </row>
    <row r="24" spans="1:7" ht="16">
      <c r="A24" s="44" t="s">
        <v>263</v>
      </c>
      <c r="B24" s="50" t="s">
        <v>705</v>
      </c>
      <c r="C24" s="354">
        <v>9.5687317621295353E-3</v>
      </c>
      <c r="D24" s="342">
        <f t="shared" si="0"/>
        <v>6.3770266344208779E-2</v>
      </c>
      <c r="E24" s="356">
        <v>1.1770266344208781E-2</v>
      </c>
      <c r="F24" s="356">
        <v>0</v>
      </c>
      <c r="G24" s="1" t="s">
        <v>364</v>
      </c>
    </row>
    <row r="25" spans="1:7" ht="16">
      <c r="A25" s="44" t="s">
        <v>264</v>
      </c>
      <c r="B25" s="50" t="s">
        <v>699</v>
      </c>
      <c r="C25" s="354">
        <v>4.0616212479677498E-2</v>
      </c>
      <c r="D25" s="342">
        <f t="shared" si="0"/>
        <v>0.10196102416318409</v>
      </c>
      <c r="E25" s="356">
        <v>4.9961024163184084E-2</v>
      </c>
      <c r="F25" s="356">
        <v>0.25</v>
      </c>
      <c r="G25" s="1" t="s">
        <v>361</v>
      </c>
    </row>
    <row r="26" spans="1:7" ht="16">
      <c r="A26" s="44" t="s">
        <v>265</v>
      </c>
      <c r="B26" s="50" t="s">
        <v>703</v>
      </c>
      <c r="C26" s="354">
        <v>7.3394208515908457E-2</v>
      </c>
      <c r="D26" s="342">
        <f t="shared" si="0"/>
        <v>0.14228044717206947</v>
      </c>
      <c r="E26" s="356">
        <v>9.028044717206947E-2</v>
      </c>
      <c r="F26" s="356">
        <v>0.1</v>
      </c>
      <c r="G26" s="1" t="s">
        <v>359</v>
      </c>
    </row>
    <row r="27" spans="1:7" ht="16">
      <c r="A27" s="44" t="s">
        <v>266</v>
      </c>
      <c r="B27" s="50" t="s">
        <v>705</v>
      </c>
      <c r="C27" s="354">
        <v>9.5687317621295353E-3</v>
      </c>
      <c r="D27" s="342">
        <f t="shared" si="0"/>
        <v>6.3770266344208779E-2</v>
      </c>
      <c r="E27" s="356">
        <v>1.1770266344208781E-2</v>
      </c>
      <c r="F27" s="356">
        <v>0.22</v>
      </c>
      <c r="G27" s="1" t="s">
        <v>360</v>
      </c>
    </row>
    <row r="28" spans="1:7" ht="16">
      <c r="A28" s="44" t="s">
        <v>267</v>
      </c>
      <c r="B28" s="50" t="s">
        <v>697</v>
      </c>
      <c r="C28" s="354">
        <v>3.3897741242437607E-2</v>
      </c>
      <c r="D28" s="342">
        <f t="shared" si="0"/>
        <v>9.3696794602356637E-2</v>
      </c>
      <c r="E28" s="356">
        <v>4.1696794602356632E-2</v>
      </c>
      <c r="F28" s="356">
        <v>0.34</v>
      </c>
      <c r="G28" s="1" t="s">
        <v>361</v>
      </c>
    </row>
    <row r="29" spans="1:7" ht="16">
      <c r="A29" s="355" t="s">
        <v>706</v>
      </c>
      <c r="B29" s="50" t="s">
        <v>100</v>
      </c>
      <c r="C29" s="287">
        <v>7.9400114621925883E-3</v>
      </c>
      <c r="D29" s="342">
        <f t="shared" si="0"/>
        <v>6.1766816753705149E-2</v>
      </c>
      <c r="E29" s="3">
        <v>9.7668167537051515E-3</v>
      </c>
      <c r="F29" s="287">
        <v>0.185</v>
      </c>
      <c r="G29" s="1" t="s">
        <v>434</v>
      </c>
    </row>
    <row r="30" spans="1:7" ht="16">
      <c r="A30" s="44" t="s">
        <v>268</v>
      </c>
      <c r="B30" s="50" t="s">
        <v>692</v>
      </c>
      <c r="C30" s="354">
        <v>2.147874895541842E-2</v>
      </c>
      <c r="D30" s="342">
        <f t="shared" si="0"/>
        <v>7.8420491474766513E-2</v>
      </c>
      <c r="E30" s="356">
        <v>2.6420491474766512E-2</v>
      </c>
      <c r="F30" s="356">
        <v>0.1</v>
      </c>
      <c r="G30" s="1" t="s">
        <v>359</v>
      </c>
    </row>
    <row r="31" spans="1:7" ht="16">
      <c r="A31" s="44" t="s">
        <v>488</v>
      </c>
      <c r="B31" s="50" t="s">
        <v>693</v>
      </c>
      <c r="C31" s="354">
        <v>6.2094961435095908E-2</v>
      </c>
      <c r="D31" s="342">
        <f t="shared" si="0"/>
        <v>0.12838151563795058</v>
      </c>
      <c r="E31" s="356">
        <v>7.6381515637950578E-2</v>
      </c>
      <c r="F31" s="356">
        <v>0.28000000000000003</v>
      </c>
      <c r="G31" s="1" t="s">
        <v>360</v>
      </c>
    </row>
    <row r="32" spans="1:7" ht="16">
      <c r="A32" s="44" t="s">
        <v>269</v>
      </c>
      <c r="B32" s="50" t="s">
        <v>693</v>
      </c>
      <c r="C32" s="354">
        <v>6.2094961435095908E-2</v>
      </c>
      <c r="D32" s="342">
        <f t="shared" si="0"/>
        <v>0.12838151563795058</v>
      </c>
      <c r="E32" s="356">
        <v>7.6381515637950578E-2</v>
      </c>
      <c r="F32" s="356">
        <v>0.2</v>
      </c>
      <c r="G32" s="1" t="s">
        <v>434</v>
      </c>
    </row>
    <row r="33" spans="1:7" ht="16">
      <c r="A33" s="44" t="s">
        <v>489</v>
      </c>
      <c r="B33" s="50" t="s">
        <v>693</v>
      </c>
      <c r="C33" s="354">
        <v>6.2094961435095908E-2</v>
      </c>
      <c r="D33" s="342">
        <f t="shared" si="0"/>
        <v>0.12838151563795058</v>
      </c>
      <c r="E33" s="356">
        <v>7.6381515637950578E-2</v>
      </c>
      <c r="F33" s="356">
        <v>0.33</v>
      </c>
      <c r="G33" s="1" t="s">
        <v>360</v>
      </c>
    </row>
    <row r="34" spans="1:7" ht="16">
      <c r="A34" s="44" t="s">
        <v>270</v>
      </c>
      <c r="B34" s="50" t="s">
        <v>695</v>
      </c>
      <c r="C34" s="354">
        <v>0</v>
      </c>
      <c r="D34" s="342">
        <f t="shared" si="0"/>
        <v>5.1999999999999998E-2</v>
      </c>
      <c r="E34" s="356">
        <v>0</v>
      </c>
      <c r="F34" s="356">
        <v>0.26500000000000001</v>
      </c>
      <c r="G34" s="1" t="s">
        <v>367</v>
      </c>
    </row>
    <row r="35" spans="1:7" ht="16">
      <c r="A35" s="44" t="s">
        <v>490</v>
      </c>
      <c r="B35" s="50" t="s">
        <v>693</v>
      </c>
      <c r="C35" s="354">
        <v>6.2094961435095908E-2</v>
      </c>
      <c r="D35" s="342">
        <f t="shared" si="0"/>
        <v>0.12838151563795058</v>
      </c>
      <c r="E35" s="356">
        <v>7.6381515637950578E-2</v>
      </c>
      <c r="F35" s="356">
        <v>0.28000000000000003</v>
      </c>
      <c r="G35" s="1" t="s">
        <v>360</v>
      </c>
    </row>
    <row r="36" spans="1:7" ht="16">
      <c r="A36" s="44" t="s">
        <v>271</v>
      </c>
      <c r="B36" s="50" t="s">
        <v>702</v>
      </c>
      <c r="C36" s="354">
        <v>6.8202662559859444E-3</v>
      </c>
      <c r="D36" s="342">
        <f t="shared" si="0"/>
        <v>6.0389445160233916E-2</v>
      </c>
      <c r="E36" s="356">
        <v>8.389445160233917E-3</v>
      </c>
      <c r="F36" s="356">
        <v>0</v>
      </c>
      <c r="G36" s="1" t="s">
        <v>364</v>
      </c>
    </row>
    <row r="37" spans="1:7" ht="16">
      <c r="A37" s="44" t="s">
        <v>272</v>
      </c>
      <c r="B37" s="50" t="s">
        <v>707</v>
      </c>
      <c r="C37" s="354">
        <v>7.9400114621925918E-3</v>
      </c>
      <c r="D37" s="342">
        <f t="shared" si="0"/>
        <v>6.1766816753705156E-2</v>
      </c>
      <c r="E37" s="356">
        <v>9.7668167537051567E-3</v>
      </c>
      <c r="F37" s="356">
        <v>0.26</v>
      </c>
      <c r="G37" s="1" t="s">
        <v>361</v>
      </c>
    </row>
    <row r="38" spans="1:7" ht="16">
      <c r="A38" s="44" t="s">
        <v>273</v>
      </c>
      <c r="B38" s="50" t="s">
        <v>707</v>
      </c>
      <c r="C38" s="354">
        <v>7.9400114621925918E-3</v>
      </c>
      <c r="D38" s="342">
        <f t="shared" si="0"/>
        <v>6.1766816753705156E-2</v>
      </c>
      <c r="E38" s="356">
        <v>9.7668167537051567E-3</v>
      </c>
      <c r="F38" s="356">
        <v>0.25</v>
      </c>
      <c r="G38" s="1" t="s">
        <v>434</v>
      </c>
    </row>
    <row r="39" spans="1:7" ht="16">
      <c r="A39" s="44" t="s">
        <v>274</v>
      </c>
      <c r="B39" s="50" t="s">
        <v>692</v>
      </c>
      <c r="C39" s="354">
        <v>2.147874895541842E-2</v>
      </c>
      <c r="D39" s="342">
        <f t="shared" si="0"/>
        <v>7.8420491474766513E-2</v>
      </c>
      <c r="E39" s="356">
        <v>2.6420491474766512E-2</v>
      </c>
      <c r="F39" s="356">
        <v>0.33</v>
      </c>
      <c r="G39" s="1" t="s">
        <v>361</v>
      </c>
    </row>
    <row r="40" spans="1:7" ht="16">
      <c r="A40" s="44" t="s">
        <v>507</v>
      </c>
      <c r="B40" s="50" t="s">
        <v>703</v>
      </c>
      <c r="C40" s="354">
        <v>7.3394208515908457E-2</v>
      </c>
      <c r="D40" s="342">
        <f t="shared" si="0"/>
        <v>0.14228044717206947</v>
      </c>
      <c r="E40" s="356">
        <v>9.028044717206947E-2</v>
      </c>
      <c r="F40" s="356">
        <v>0.35</v>
      </c>
      <c r="G40" s="1" t="s">
        <v>360</v>
      </c>
    </row>
    <row r="41" spans="1:7" ht="16">
      <c r="A41" s="44" t="s">
        <v>508</v>
      </c>
      <c r="B41" s="50" t="s">
        <v>708</v>
      </c>
      <c r="C41" s="354">
        <v>0.10159142870856677</v>
      </c>
      <c r="D41" s="342">
        <f t="shared" si="0"/>
        <v>0.17696516820766345</v>
      </c>
      <c r="E41" s="356">
        <v>0.12496516820766344</v>
      </c>
      <c r="F41" s="356">
        <v>0.28000000000000003</v>
      </c>
      <c r="G41" s="1" t="s">
        <v>360</v>
      </c>
    </row>
    <row r="42" spans="1:7" ht="16">
      <c r="A42" s="44" t="s">
        <v>491</v>
      </c>
      <c r="B42" s="50" t="s">
        <v>690</v>
      </c>
      <c r="C42" s="354">
        <v>5.0795714354283386E-2</v>
      </c>
      <c r="D42" s="342">
        <f t="shared" si="0"/>
        <v>0.11448258410383172</v>
      </c>
      <c r="E42" s="356">
        <v>6.2482584103831722E-2</v>
      </c>
      <c r="F42" s="356">
        <v>0</v>
      </c>
      <c r="G42" s="1" t="s">
        <v>362</v>
      </c>
    </row>
    <row r="43" spans="1:7" ht="16">
      <c r="A43" s="44" t="s">
        <v>275</v>
      </c>
      <c r="B43" s="50" t="s">
        <v>690</v>
      </c>
      <c r="C43" s="354">
        <v>5.0795714354283386E-2</v>
      </c>
      <c r="D43" s="342">
        <f t="shared" si="0"/>
        <v>0.11448258410383172</v>
      </c>
      <c r="E43" s="356">
        <v>6.2482584103831722E-2</v>
      </c>
      <c r="F43" s="356">
        <v>0.3</v>
      </c>
      <c r="G43" s="1" t="s">
        <v>361</v>
      </c>
    </row>
    <row r="44" spans="1:7" ht="16">
      <c r="A44" s="44" t="s">
        <v>746</v>
      </c>
      <c r="B44" s="50" t="s">
        <v>699</v>
      </c>
      <c r="C44" s="354">
        <v>4.0616212479677498E-2</v>
      </c>
      <c r="D44" s="342">
        <f t="shared" si="0"/>
        <v>0.10196102416318409</v>
      </c>
      <c r="E44" s="356">
        <v>4.9961024163184084E-2</v>
      </c>
      <c r="F44" s="356">
        <v>0.25</v>
      </c>
      <c r="G44" s="1" t="s">
        <v>360</v>
      </c>
    </row>
    <row r="45" spans="1:7" ht="16">
      <c r="A45" s="44" t="s">
        <v>276</v>
      </c>
      <c r="B45" s="50" t="s">
        <v>697</v>
      </c>
      <c r="C45" s="354">
        <v>3.3897741242437607E-2</v>
      </c>
      <c r="D45" s="342">
        <f t="shared" si="0"/>
        <v>9.3696794602356637E-2</v>
      </c>
      <c r="E45" s="356">
        <v>4.1696794602356632E-2</v>
      </c>
      <c r="F45" s="356">
        <v>0.18</v>
      </c>
      <c r="G45" s="1" t="s">
        <v>359</v>
      </c>
    </row>
    <row r="46" spans="1:7" ht="16">
      <c r="A46" s="44" t="s">
        <v>368</v>
      </c>
      <c r="B46" s="50" t="s">
        <v>708</v>
      </c>
      <c r="C46" s="354">
        <v>0.10159142870856677</v>
      </c>
      <c r="D46" s="342">
        <f t="shared" si="0"/>
        <v>0.17696516820766345</v>
      </c>
      <c r="E46" s="356">
        <v>0.12496516820766344</v>
      </c>
      <c r="F46" s="356">
        <v>0.24</v>
      </c>
      <c r="G46" s="1" t="s">
        <v>364</v>
      </c>
    </row>
    <row r="47" spans="1:7" ht="16">
      <c r="A47" s="44" t="s">
        <v>747</v>
      </c>
      <c r="B47" s="50" t="s">
        <v>709</v>
      </c>
      <c r="C47" s="354">
        <v>1.3538737493225832E-2</v>
      </c>
      <c r="D47" s="342">
        <f t="shared" si="0"/>
        <v>6.8653674721061361E-2</v>
      </c>
      <c r="E47" s="356">
        <v>1.665367472106136E-2</v>
      </c>
      <c r="F47" s="356">
        <v>0.22</v>
      </c>
      <c r="G47" s="1" t="s">
        <v>364</v>
      </c>
    </row>
    <row r="48" spans="1:7" ht="16">
      <c r="A48" s="44" t="s">
        <v>277</v>
      </c>
      <c r="B48" s="50" t="s">
        <v>697</v>
      </c>
      <c r="C48" s="354">
        <v>3.3897741242437607E-2</v>
      </c>
      <c r="D48" s="342">
        <f t="shared" si="0"/>
        <v>9.3696794602356637E-2</v>
      </c>
      <c r="E48" s="356">
        <v>4.1696794602356632E-2</v>
      </c>
      <c r="F48" s="356">
        <v>0.125</v>
      </c>
      <c r="G48" s="1" t="s">
        <v>358</v>
      </c>
    </row>
    <row r="49" spans="1:7" ht="16">
      <c r="A49" s="44" t="s">
        <v>278</v>
      </c>
      <c r="B49" s="50" t="s">
        <v>707</v>
      </c>
      <c r="C49" s="354">
        <v>7.9400114621925918E-3</v>
      </c>
      <c r="D49" s="342">
        <f t="shared" si="0"/>
        <v>6.1766816753705156E-2</v>
      </c>
      <c r="E49" s="356">
        <v>9.7668167537051567E-3</v>
      </c>
      <c r="F49" s="356">
        <v>0.19</v>
      </c>
      <c r="G49" s="1" t="s">
        <v>359</v>
      </c>
    </row>
    <row r="50" spans="1:7" ht="16">
      <c r="A50" s="44" t="s">
        <v>279</v>
      </c>
      <c r="B50" s="50" t="s">
        <v>695</v>
      </c>
      <c r="C50" s="354">
        <v>0</v>
      </c>
      <c r="D50" s="342">
        <f t="shared" si="0"/>
        <v>5.1999999999999998E-2</v>
      </c>
      <c r="E50" s="356">
        <v>0</v>
      </c>
      <c r="F50" s="356">
        <v>0.22</v>
      </c>
      <c r="G50" s="1" t="s">
        <v>358</v>
      </c>
    </row>
    <row r="51" spans="1:7" ht="16">
      <c r="A51" s="44" t="s">
        <v>280</v>
      </c>
      <c r="B51" s="50" t="s">
        <v>699</v>
      </c>
      <c r="C51" s="354">
        <v>4.0616212479677498E-2</v>
      </c>
      <c r="D51" s="342">
        <f t="shared" si="0"/>
        <v>0.10196102416318409</v>
      </c>
      <c r="E51" s="356">
        <v>4.9961024163184084E-2</v>
      </c>
      <c r="F51" s="356">
        <v>0.27</v>
      </c>
      <c r="G51" s="1" t="s">
        <v>364</v>
      </c>
    </row>
    <row r="52" spans="1:7" ht="16">
      <c r="A52" s="44" t="s">
        <v>281</v>
      </c>
      <c r="B52" s="50" t="s">
        <v>703</v>
      </c>
      <c r="C52" s="354">
        <v>7.3394208515908457E-2</v>
      </c>
      <c r="D52" s="342">
        <f t="shared" si="0"/>
        <v>0.14228044717206947</v>
      </c>
      <c r="E52" s="356">
        <v>9.028044717206947E-2</v>
      </c>
      <c r="F52" s="356">
        <v>0.25</v>
      </c>
      <c r="G52" s="1" t="s">
        <v>361</v>
      </c>
    </row>
    <row r="53" spans="1:7" ht="16">
      <c r="A53" s="44" t="s">
        <v>282</v>
      </c>
      <c r="B53" s="50" t="s">
        <v>703</v>
      </c>
      <c r="C53" s="354">
        <v>7.3394208515908457E-2</v>
      </c>
      <c r="D53" s="342">
        <f t="shared" si="0"/>
        <v>0.14228044717206947</v>
      </c>
      <c r="E53" s="356">
        <v>9.028044717206947E-2</v>
      </c>
      <c r="F53" s="356">
        <v>0.23</v>
      </c>
      <c r="G53" s="1" t="s">
        <v>360</v>
      </c>
    </row>
    <row r="54" spans="1:7" ht="16">
      <c r="A54" s="44" t="s">
        <v>369</v>
      </c>
      <c r="B54" s="50" t="s">
        <v>701</v>
      </c>
      <c r="C54" s="354">
        <v>8.4591660577974931E-2</v>
      </c>
      <c r="D54" s="342">
        <f t="shared" si="0"/>
        <v>0.15605416310678188</v>
      </c>
      <c r="E54" s="356">
        <v>0.10405416310678188</v>
      </c>
      <c r="F54" s="356">
        <v>0.3</v>
      </c>
      <c r="G54" s="1" t="s">
        <v>361</v>
      </c>
    </row>
    <row r="55" spans="1:7" ht="16">
      <c r="A55" s="44" t="s">
        <v>283</v>
      </c>
      <c r="B55" s="50" t="s">
        <v>707</v>
      </c>
      <c r="C55" s="354">
        <v>7.9400114621925918E-3</v>
      </c>
      <c r="D55" s="342">
        <f t="shared" si="0"/>
        <v>6.1766816753705156E-2</v>
      </c>
      <c r="E55" s="356">
        <v>9.7668167537051567E-3</v>
      </c>
      <c r="F55" s="356">
        <v>0.2</v>
      </c>
      <c r="G55" s="1" t="s">
        <v>359</v>
      </c>
    </row>
    <row r="56" spans="1:7" ht="16">
      <c r="A56" s="44" t="s">
        <v>509</v>
      </c>
      <c r="B56" s="50" t="s">
        <v>690</v>
      </c>
      <c r="C56" s="354">
        <v>5.0795714354283386E-2</v>
      </c>
      <c r="D56" s="342">
        <f t="shared" si="0"/>
        <v>0.11448258410383172</v>
      </c>
      <c r="E56" s="356">
        <v>6.2482584103831722E-2</v>
      </c>
      <c r="F56" s="356">
        <v>0.3</v>
      </c>
      <c r="G56" s="1" t="s">
        <v>360</v>
      </c>
    </row>
    <row r="57" spans="1:7" ht="16">
      <c r="A57" s="44" t="s">
        <v>284</v>
      </c>
      <c r="B57" s="50" t="s">
        <v>699</v>
      </c>
      <c r="C57" s="354">
        <v>4.0616212479677498E-2</v>
      </c>
      <c r="D57" s="342">
        <f t="shared" si="0"/>
        <v>0.10196102416318409</v>
      </c>
      <c r="E57" s="356">
        <v>4.9961024163184084E-2</v>
      </c>
      <c r="F57" s="356">
        <v>0.2</v>
      </c>
      <c r="G57" s="1" t="s">
        <v>434</v>
      </c>
    </row>
    <row r="58" spans="1:7" ht="16">
      <c r="A58" s="44" t="s">
        <v>285</v>
      </c>
      <c r="B58" s="50" t="s">
        <v>696</v>
      </c>
      <c r="C58" s="354">
        <v>4.4789808248265903E-3</v>
      </c>
      <c r="D58" s="342">
        <f t="shared" si="0"/>
        <v>5.7509486373884956E-2</v>
      </c>
      <c r="E58" s="356">
        <v>5.5094863738849604E-3</v>
      </c>
      <c r="F58" s="356">
        <v>0.2</v>
      </c>
      <c r="G58" s="1" t="s">
        <v>358</v>
      </c>
    </row>
    <row r="59" spans="1:7" ht="16">
      <c r="A59" s="44" t="s">
        <v>286</v>
      </c>
      <c r="B59" s="50" t="s">
        <v>689</v>
      </c>
      <c r="C59" s="354">
        <v>5.5987260310332385E-3</v>
      </c>
      <c r="D59" s="342">
        <f t="shared" si="0"/>
        <v>5.8886857967356196E-2</v>
      </c>
      <c r="E59" s="356">
        <v>6.8868579673562009E-3</v>
      </c>
      <c r="F59" s="356">
        <v>0.33</v>
      </c>
      <c r="G59" s="1" t="s">
        <v>358</v>
      </c>
    </row>
    <row r="60" spans="1:7" ht="16">
      <c r="A60" s="44" t="s">
        <v>492</v>
      </c>
      <c r="B60" s="50" t="s">
        <v>701</v>
      </c>
      <c r="C60" s="354">
        <v>8.4591660577974931E-2</v>
      </c>
      <c r="D60" s="342">
        <f t="shared" si="0"/>
        <v>0.15605416310678188</v>
      </c>
      <c r="E60" s="356">
        <v>0.10405416310678188</v>
      </c>
      <c r="F60" s="356">
        <v>0.3</v>
      </c>
      <c r="G60" s="1" t="s">
        <v>360</v>
      </c>
    </row>
    <row r="61" spans="1:7" ht="16">
      <c r="A61" s="355" t="s">
        <v>710</v>
      </c>
      <c r="B61" s="50" t="s">
        <v>100</v>
      </c>
      <c r="C61" s="287">
        <v>7.3394208515908457E-2</v>
      </c>
      <c r="D61" s="342">
        <f t="shared" si="0"/>
        <v>0.14228044717206947</v>
      </c>
      <c r="E61" s="3">
        <v>9.028044717206947E-2</v>
      </c>
      <c r="F61" s="287">
        <v>0.31</v>
      </c>
      <c r="G61" s="1" t="s">
        <v>360</v>
      </c>
    </row>
    <row r="62" spans="1:7" ht="16">
      <c r="A62" s="44" t="s">
        <v>370</v>
      </c>
      <c r="B62" s="50" t="s">
        <v>697</v>
      </c>
      <c r="C62" s="354">
        <v>3.3897741242437607E-2</v>
      </c>
      <c r="D62" s="342">
        <f t="shared" si="0"/>
        <v>9.3696794602356637E-2</v>
      </c>
      <c r="E62" s="356">
        <v>4.1696794602356632E-2</v>
      </c>
      <c r="F62" s="356">
        <v>0.31</v>
      </c>
      <c r="G62" s="1" t="s">
        <v>359</v>
      </c>
    </row>
    <row r="63" spans="1:7" ht="16">
      <c r="A63" s="44" t="s">
        <v>287</v>
      </c>
      <c r="B63" s="50" t="s">
        <v>695</v>
      </c>
      <c r="C63" s="354">
        <v>0</v>
      </c>
      <c r="D63" s="342">
        <f t="shared" si="0"/>
        <v>5.1999999999999998E-2</v>
      </c>
      <c r="E63" s="356">
        <v>0</v>
      </c>
      <c r="F63" s="356">
        <v>0.15</v>
      </c>
      <c r="G63" s="1" t="s">
        <v>358</v>
      </c>
    </row>
    <row r="64" spans="1:7" ht="16">
      <c r="A64" s="44" t="s">
        <v>493</v>
      </c>
      <c r="B64" s="50" t="s">
        <v>703</v>
      </c>
      <c r="C64" s="354">
        <v>7.3394208515908457E-2</v>
      </c>
      <c r="D64" s="342">
        <f t="shared" si="0"/>
        <v>0.14228044717206947</v>
      </c>
      <c r="E64" s="356">
        <v>9.028044717206947E-2</v>
      </c>
      <c r="F64" s="356">
        <v>0.25</v>
      </c>
      <c r="G64" s="1" t="s">
        <v>360</v>
      </c>
    </row>
    <row r="65" spans="1:7" ht="16">
      <c r="A65" s="44" t="s">
        <v>288</v>
      </c>
      <c r="B65" s="50" t="s">
        <v>703</v>
      </c>
      <c r="C65" s="354">
        <v>7.3394208515908457E-2</v>
      </c>
      <c r="D65" s="342">
        <f t="shared" si="0"/>
        <v>0.14228044717206947</v>
      </c>
      <c r="E65" s="356">
        <v>9.028044717206947E-2</v>
      </c>
      <c r="F65" s="356">
        <v>0.28999999999999998</v>
      </c>
      <c r="G65" s="1" t="s">
        <v>358</v>
      </c>
    </row>
    <row r="66" spans="1:7" ht="16">
      <c r="A66" s="44" t="s">
        <v>289</v>
      </c>
      <c r="B66" s="50" t="s">
        <v>711</v>
      </c>
      <c r="C66" s="354">
        <v>2.8197220192658311E-2</v>
      </c>
      <c r="D66" s="342">
        <f t="shared" si="0"/>
        <v>8.6684721035593965E-2</v>
      </c>
      <c r="E66" s="356">
        <v>3.468472103559396E-2</v>
      </c>
      <c r="F66" s="356">
        <v>0.25</v>
      </c>
      <c r="G66" s="1" t="s">
        <v>361</v>
      </c>
    </row>
    <row r="67" spans="1:7" ht="16">
      <c r="A67" s="44" t="s">
        <v>510</v>
      </c>
      <c r="B67" s="50" t="s">
        <v>702</v>
      </c>
      <c r="C67" s="354">
        <v>6.8202662559859444E-3</v>
      </c>
      <c r="D67" s="342">
        <f t="shared" si="0"/>
        <v>6.0389445160233916E-2</v>
      </c>
      <c r="E67" s="356">
        <v>8.389445160233917E-3</v>
      </c>
      <c r="F67" s="356">
        <v>0</v>
      </c>
      <c r="G67" s="1" t="s">
        <v>358</v>
      </c>
    </row>
    <row r="68" spans="1:7" ht="16">
      <c r="A68" s="355" t="s">
        <v>712</v>
      </c>
      <c r="B68" s="50" t="s">
        <v>100</v>
      </c>
      <c r="C68" s="287">
        <v>0.1353873749322583</v>
      </c>
      <c r="D68" s="342">
        <f t="shared" si="0"/>
        <v>0.21853674721061356</v>
      </c>
      <c r="E68" s="3">
        <v>0.16653674721061357</v>
      </c>
      <c r="F68" s="287">
        <v>0.29149999999999998</v>
      </c>
      <c r="G68" s="1" t="s">
        <v>360</v>
      </c>
    </row>
    <row r="69" spans="1:7" ht="16">
      <c r="A69" s="355" t="s">
        <v>713</v>
      </c>
      <c r="B69" s="50" t="s">
        <v>100</v>
      </c>
      <c r="C69" s="287">
        <v>8.4591660577974931E-2</v>
      </c>
      <c r="D69" s="342">
        <f t="shared" si="0"/>
        <v>0.15605416310678188</v>
      </c>
      <c r="E69" s="3">
        <v>0.10405416310678188</v>
      </c>
      <c r="F69" s="287">
        <v>0.29149999999999998</v>
      </c>
      <c r="G69" s="1" t="s">
        <v>360</v>
      </c>
    </row>
    <row r="70" spans="1:7" ht="16">
      <c r="A70" s="355" t="s">
        <v>714</v>
      </c>
      <c r="B70" s="50" t="s">
        <v>100</v>
      </c>
      <c r="C70" s="287">
        <v>5.0795714354283379E-2</v>
      </c>
      <c r="D70" s="342">
        <f t="shared" ref="D70:D133" si="1">$D$173+E70</f>
        <v>0.11448258410383172</v>
      </c>
      <c r="E70" s="3">
        <v>6.2482584103831715E-2</v>
      </c>
      <c r="F70" s="287">
        <v>0.18640000000000001</v>
      </c>
      <c r="G70" s="1" t="s">
        <v>361</v>
      </c>
    </row>
    <row r="71" spans="1:7" ht="16">
      <c r="A71" s="355" t="s">
        <v>715</v>
      </c>
      <c r="B71" s="50" t="s">
        <v>100</v>
      </c>
      <c r="C71" s="287">
        <v>0.10159142870856677</v>
      </c>
      <c r="D71" s="342">
        <f t="shared" si="1"/>
        <v>0.17696516820766345</v>
      </c>
      <c r="E71" s="3">
        <v>0.12496516820766344</v>
      </c>
      <c r="F71" s="287">
        <v>0.18640000000000001</v>
      </c>
      <c r="G71" s="1" t="s">
        <v>364</v>
      </c>
    </row>
    <row r="72" spans="1:7" ht="16">
      <c r="A72" s="44" t="s">
        <v>290</v>
      </c>
      <c r="B72" s="50" t="s">
        <v>690</v>
      </c>
      <c r="C72" s="354">
        <v>5.0795714354283386E-2</v>
      </c>
      <c r="D72" s="342">
        <f t="shared" si="1"/>
        <v>0.11448258410383172</v>
      </c>
      <c r="E72" s="356">
        <v>6.2482584103831722E-2</v>
      </c>
      <c r="F72" s="356">
        <v>0.25</v>
      </c>
      <c r="G72" s="1" t="s">
        <v>361</v>
      </c>
    </row>
    <row r="73" spans="1:7" ht="16">
      <c r="A73" s="44" t="s">
        <v>291</v>
      </c>
      <c r="B73" s="50" t="s">
        <v>689</v>
      </c>
      <c r="C73" s="354">
        <v>5.5987260310332385E-3</v>
      </c>
      <c r="D73" s="342">
        <f t="shared" si="1"/>
        <v>5.8886857967356196E-2</v>
      </c>
      <c r="E73" s="356">
        <v>6.8868579673562009E-3</v>
      </c>
      <c r="F73" s="356">
        <v>0.16500000000000001</v>
      </c>
      <c r="G73" s="1" t="s">
        <v>434</v>
      </c>
    </row>
    <row r="74" spans="1:7" ht="16">
      <c r="A74" s="44" t="s">
        <v>292</v>
      </c>
      <c r="B74" s="50" t="s">
        <v>698</v>
      </c>
      <c r="C74" s="354">
        <v>2.4837984574038366E-2</v>
      </c>
      <c r="D74" s="342">
        <f t="shared" si="1"/>
        <v>8.2552606255180239E-2</v>
      </c>
      <c r="E74" s="356">
        <v>3.0552606255180234E-2</v>
      </c>
      <c r="F74" s="356">
        <v>0.09</v>
      </c>
      <c r="G74" s="1" t="s">
        <v>359</v>
      </c>
    </row>
    <row r="75" spans="1:7" ht="16">
      <c r="A75" s="44" t="s">
        <v>293</v>
      </c>
      <c r="B75" s="50" t="s">
        <v>709</v>
      </c>
      <c r="C75" s="354">
        <v>1.3538737493225832E-2</v>
      </c>
      <c r="D75" s="342">
        <f t="shared" si="1"/>
        <v>6.8653674721061361E-2</v>
      </c>
      <c r="E75" s="356">
        <v>1.665367472106136E-2</v>
      </c>
      <c r="F75" s="356">
        <v>0.2</v>
      </c>
      <c r="G75" s="1" t="s">
        <v>358</v>
      </c>
    </row>
    <row r="76" spans="1:7" ht="16">
      <c r="A76" s="44" t="s">
        <v>294</v>
      </c>
      <c r="B76" s="50" t="s">
        <v>692</v>
      </c>
      <c r="C76" s="354">
        <v>2.147874895541842E-2</v>
      </c>
      <c r="D76" s="342">
        <f t="shared" si="1"/>
        <v>7.8420491474766513E-2</v>
      </c>
      <c r="E76" s="356">
        <v>2.6420491474766512E-2</v>
      </c>
      <c r="F76" s="356">
        <v>0.35</v>
      </c>
      <c r="G76" s="1" t="s">
        <v>434</v>
      </c>
    </row>
    <row r="77" spans="1:7" ht="16">
      <c r="A77" s="44" t="s">
        <v>295</v>
      </c>
      <c r="B77" s="50" t="s">
        <v>692</v>
      </c>
      <c r="C77" s="354">
        <v>2.147874895541842E-2</v>
      </c>
      <c r="D77" s="342">
        <f t="shared" si="1"/>
        <v>7.8420491474766513E-2</v>
      </c>
      <c r="E77" s="356">
        <v>2.6420491474766512E-2</v>
      </c>
      <c r="F77" s="356">
        <v>0.25</v>
      </c>
      <c r="G77" s="1" t="s">
        <v>434</v>
      </c>
    </row>
    <row r="78" spans="1:7" ht="16">
      <c r="A78" s="355" t="s">
        <v>716</v>
      </c>
      <c r="B78" s="50" t="s">
        <v>100</v>
      </c>
      <c r="C78" s="287">
        <v>3.3897741242437607E-2</v>
      </c>
      <c r="D78" s="342">
        <f t="shared" si="1"/>
        <v>9.3696794602356637E-2</v>
      </c>
      <c r="E78" s="3">
        <v>4.1696794602356632E-2</v>
      </c>
      <c r="F78" s="287">
        <v>0.20230000000000001</v>
      </c>
      <c r="G78" s="1" t="s">
        <v>365</v>
      </c>
    </row>
    <row r="79" spans="1:7" ht="16">
      <c r="A79" s="44" t="s">
        <v>662</v>
      </c>
      <c r="B79" s="50" t="s">
        <v>701</v>
      </c>
      <c r="C79" s="354">
        <v>8.4591660577974931E-2</v>
      </c>
      <c r="D79" s="342">
        <f t="shared" si="1"/>
        <v>0.15605416310678188</v>
      </c>
      <c r="E79" s="356">
        <v>0.10405416310678188</v>
      </c>
      <c r="F79" s="356">
        <v>0.15</v>
      </c>
      <c r="G79" s="1" t="s">
        <v>365</v>
      </c>
    </row>
    <row r="80" spans="1:7" ht="16">
      <c r="A80" s="44" t="s">
        <v>296</v>
      </c>
      <c r="B80" s="50" t="s">
        <v>705</v>
      </c>
      <c r="C80" s="354">
        <v>9.5687317621295353E-3</v>
      </c>
      <c r="D80" s="342">
        <f t="shared" si="1"/>
        <v>6.3770266344208779E-2</v>
      </c>
      <c r="E80" s="356">
        <v>1.1770266344208781E-2</v>
      </c>
      <c r="F80" s="356">
        <v>0.125</v>
      </c>
      <c r="G80" s="1" t="s">
        <v>358</v>
      </c>
    </row>
    <row r="81" spans="1:7" ht="16">
      <c r="A81" s="44" t="s">
        <v>297</v>
      </c>
      <c r="B81" s="50" t="s">
        <v>689</v>
      </c>
      <c r="C81" s="354">
        <v>5.5987260310332385E-3</v>
      </c>
      <c r="D81" s="342">
        <f t="shared" si="1"/>
        <v>5.8886857967356196E-2</v>
      </c>
      <c r="E81" s="356">
        <v>6.8868579673562009E-3</v>
      </c>
      <c r="F81" s="356">
        <v>0</v>
      </c>
      <c r="G81" s="1" t="s">
        <v>358</v>
      </c>
    </row>
    <row r="82" spans="1:7" ht="16">
      <c r="A82" s="44" t="s">
        <v>298</v>
      </c>
      <c r="B82" s="50" t="s">
        <v>707</v>
      </c>
      <c r="C82" s="354">
        <v>7.9400114621925918E-3</v>
      </c>
      <c r="D82" s="342">
        <f t="shared" si="1"/>
        <v>6.1766816753705156E-2</v>
      </c>
      <c r="E82" s="356">
        <v>9.7668167537051567E-3</v>
      </c>
      <c r="F82" s="356">
        <v>0.23</v>
      </c>
      <c r="G82" s="1" t="s">
        <v>365</v>
      </c>
    </row>
    <row r="83" spans="1:7" ht="16">
      <c r="A83" s="44" t="s">
        <v>299</v>
      </c>
      <c r="B83" s="50" t="s">
        <v>698</v>
      </c>
      <c r="C83" s="354">
        <v>2.4837984574038366E-2</v>
      </c>
      <c r="D83" s="342">
        <f t="shared" si="1"/>
        <v>8.2552606255180239E-2</v>
      </c>
      <c r="E83" s="356">
        <v>3.0552606255180234E-2</v>
      </c>
      <c r="F83" s="356">
        <v>0.24</v>
      </c>
      <c r="G83" s="1" t="s">
        <v>358</v>
      </c>
    </row>
    <row r="84" spans="1:7" ht="16">
      <c r="A84" s="44" t="s">
        <v>300</v>
      </c>
      <c r="B84" s="50" t="s">
        <v>703</v>
      </c>
      <c r="C84" s="354">
        <v>7.3394208515908457E-2</v>
      </c>
      <c r="D84" s="342">
        <f t="shared" si="1"/>
        <v>0.14228044717206947</v>
      </c>
      <c r="E84" s="356">
        <v>9.028044717206947E-2</v>
      </c>
      <c r="F84" s="356">
        <v>0.25</v>
      </c>
      <c r="G84" s="1" t="s">
        <v>364</v>
      </c>
    </row>
    <row r="85" spans="1:7" ht="16">
      <c r="A85" s="44" t="s">
        <v>301</v>
      </c>
      <c r="B85" s="50" t="s">
        <v>707</v>
      </c>
      <c r="C85" s="354">
        <v>7.9400114621925918E-3</v>
      </c>
      <c r="D85" s="342">
        <f t="shared" si="1"/>
        <v>6.1766816753705156E-2</v>
      </c>
      <c r="E85" s="356">
        <v>9.7668167537051567E-3</v>
      </c>
      <c r="F85" s="356">
        <v>0.30859999999999999</v>
      </c>
      <c r="G85" s="1" t="s">
        <v>434</v>
      </c>
    </row>
    <row r="86" spans="1:7" ht="16">
      <c r="A86" s="44" t="s">
        <v>511</v>
      </c>
      <c r="B86" s="50" t="s">
        <v>702</v>
      </c>
      <c r="C86" s="354">
        <v>6.8202662559859444E-3</v>
      </c>
      <c r="D86" s="342">
        <f t="shared" si="1"/>
        <v>6.0389445160233916E-2</v>
      </c>
      <c r="E86" s="356">
        <v>8.389445160233917E-3</v>
      </c>
      <c r="F86" s="356">
        <v>0.2</v>
      </c>
      <c r="G86" s="1" t="s">
        <v>358</v>
      </c>
    </row>
    <row r="87" spans="1:7" ht="16">
      <c r="A87" s="44" t="s">
        <v>302</v>
      </c>
      <c r="B87" s="50" t="s">
        <v>690</v>
      </c>
      <c r="C87" s="354">
        <v>5.0795714354283386E-2</v>
      </c>
      <c r="D87" s="342">
        <f t="shared" si="1"/>
        <v>0.11448258410383172</v>
      </c>
      <c r="E87" s="356">
        <v>6.2482584103831722E-2</v>
      </c>
      <c r="F87" s="356">
        <v>0.2</v>
      </c>
      <c r="G87" s="1" t="s">
        <v>365</v>
      </c>
    </row>
    <row r="88" spans="1:7" ht="16">
      <c r="A88" s="44" t="s">
        <v>303</v>
      </c>
      <c r="B88" s="50" t="s">
        <v>698</v>
      </c>
      <c r="C88" s="354">
        <v>2.4837984574038366E-2</v>
      </c>
      <c r="D88" s="342">
        <f t="shared" si="1"/>
        <v>8.2552606255180239E-2</v>
      </c>
      <c r="E88" s="356">
        <v>3.0552606255180234E-2</v>
      </c>
      <c r="F88" s="356">
        <v>0.2</v>
      </c>
      <c r="G88" s="1" t="s">
        <v>359</v>
      </c>
    </row>
    <row r="89" spans="1:7" ht="16">
      <c r="A89" s="44" t="s">
        <v>435</v>
      </c>
      <c r="B89" s="50" t="s">
        <v>693</v>
      </c>
      <c r="C89" s="354">
        <v>6.2094961435095908E-2</v>
      </c>
      <c r="D89" s="342">
        <f t="shared" si="1"/>
        <v>0.12838151563795058</v>
      </c>
      <c r="E89" s="356">
        <v>7.6381515637950578E-2</v>
      </c>
      <c r="F89" s="356">
        <v>0.3</v>
      </c>
      <c r="G89" s="1" t="s">
        <v>360</v>
      </c>
    </row>
    <row r="90" spans="1:7" ht="16">
      <c r="A90" s="44" t="s">
        <v>499</v>
      </c>
      <c r="B90" s="50" t="s">
        <v>689</v>
      </c>
      <c r="C90" s="354">
        <v>5.5987260310332385E-3</v>
      </c>
      <c r="D90" s="342">
        <f t="shared" si="1"/>
        <v>5.8886857967356196E-2</v>
      </c>
      <c r="E90" s="356">
        <v>6.8868579673562009E-3</v>
      </c>
      <c r="F90" s="356">
        <v>0.25</v>
      </c>
      <c r="G90" s="1" t="s">
        <v>434</v>
      </c>
    </row>
    <row r="91" spans="1:7" ht="16">
      <c r="A91" s="355" t="s">
        <v>717</v>
      </c>
      <c r="B91" s="50" t="s">
        <v>100</v>
      </c>
      <c r="C91" s="287">
        <v>0.1353873749322583</v>
      </c>
      <c r="D91" s="342">
        <f t="shared" si="1"/>
        <v>0.21853674721061356</v>
      </c>
      <c r="E91" s="3">
        <v>0.16653674721061357</v>
      </c>
      <c r="F91" s="287">
        <v>0.23100000000000001</v>
      </c>
      <c r="G91" s="1" t="s">
        <v>434</v>
      </c>
    </row>
    <row r="92" spans="1:7" ht="16">
      <c r="A92" s="44" t="s">
        <v>304</v>
      </c>
      <c r="B92" s="50" t="s">
        <v>689</v>
      </c>
      <c r="C92" s="354">
        <v>5.5987260310332385E-3</v>
      </c>
      <c r="D92" s="342">
        <f t="shared" si="1"/>
        <v>5.8886857967356196E-2</v>
      </c>
      <c r="E92" s="356">
        <v>6.8868579673562009E-3</v>
      </c>
      <c r="F92" s="356">
        <v>0.15</v>
      </c>
      <c r="G92" s="1" t="s">
        <v>365</v>
      </c>
    </row>
    <row r="93" spans="1:7" ht="16">
      <c r="A93" s="44" t="s">
        <v>494</v>
      </c>
      <c r="B93" s="50" t="s">
        <v>693</v>
      </c>
      <c r="C93" s="354">
        <v>6.2094961435095908E-2</v>
      </c>
      <c r="D93" s="342">
        <f t="shared" si="1"/>
        <v>0.12838151563795058</v>
      </c>
      <c r="E93" s="356">
        <v>7.6381515637950578E-2</v>
      </c>
      <c r="F93" s="356">
        <v>0.1</v>
      </c>
      <c r="G93" s="1" t="s">
        <v>359</v>
      </c>
    </row>
    <row r="94" spans="1:7" ht="16">
      <c r="A94" s="44" t="s">
        <v>305</v>
      </c>
      <c r="B94" s="50" t="s">
        <v>709</v>
      </c>
      <c r="C94" s="354">
        <v>1.3538737493225832E-2</v>
      </c>
      <c r="D94" s="342">
        <f t="shared" si="1"/>
        <v>6.8653674721061361E-2</v>
      </c>
      <c r="E94" s="356">
        <v>1.665367472106136E-2</v>
      </c>
      <c r="F94" s="356">
        <v>0.2</v>
      </c>
      <c r="G94" s="1" t="s">
        <v>359</v>
      </c>
    </row>
    <row r="95" spans="1:7" ht="16">
      <c r="A95" s="44" t="s">
        <v>371</v>
      </c>
      <c r="B95" s="50" t="s">
        <v>703</v>
      </c>
      <c r="C95" s="354">
        <v>7.3394208515908457E-2</v>
      </c>
      <c r="D95" s="342">
        <f t="shared" si="1"/>
        <v>0.14228044717206947</v>
      </c>
      <c r="E95" s="356">
        <v>9.028044717206947E-2</v>
      </c>
      <c r="F95" s="356">
        <v>0.15</v>
      </c>
      <c r="G95" s="1" t="s">
        <v>365</v>
      </c>
    </row>
    <row r="96" spans="1:7" ht="16">
      <c r="A96" s="355" t="s">
        <v>718</v>
      </c>
      <c r="B96" s="50" t="s">
        <v>100</v>
      </c>
      <c r="C96" s="287">
        <v>0.1353873749322583</v>
      </c>
      <c r="D96" s="342">
        <f t="shared" si="1"/>
        <v>0.21853674721061356</v>
      </c>
      <c r="E96" s="3">
        <v>0.16653674721061357</v>
      </c>
      <c r="F96" s="287">
        <v>0.29149999999999998</v>
      </c>
      <c r="G96" s="1" t="s">
        <v>360</v>
      </c>
    </row>
    <row r="97" spans="1:7" ht="16">
      <c r="A97" s="355" t="s">
        <v>719</v>
      </c>
      <c r="B97" s="50" t="s">
        <v>100</v>
      </c>
      <c r="C97" s="287">
        <v>5.0795714354283379E-2</v>
      </c>
      <c r="D97" s="342">
        <f t="shared" si="1"/>
        <v>0.11448258410383172</v>
      </c>
      <c r="E97" s="3">
        <v>6.2482584103831715E-2</v>
      </c>
      <c r="F97" s="357">
        <v>0.2</v>
      </c>
      <c r="G97" s="1" t="s">
        <v>360</v>
      </c>
    </row>
    <row r="98" spans="1:7" ht="16">
      <c r="A98" s="44" t="s">
        <v>306</v>
      </c>
      <c r="B98" s="50" t="s">
        <v>695</v>
      </c>
      <c r="C98" s="354">
        <v>0</v>
      </c>
      <c r="D98" s="342">
        <f t="shared" si="1"/>
        <v>5.1999999999999998E-2</v>
      </c>
      <c r="E98" s="356">
        <v>0</v>
      </c>
      <c r="F98" s="356">
        <v>0.125</v>
      </c>
      <c r="G98" s="1" t="s">
        <v>358</v>
      </c>
    </row>
    <row r="99" spans="1:7" ht="16">
      <c r="A99" s="44" t="s">
        <v>307</v>
      </c>
      <c r="B99" s="50" t="s">
        <v>709</v>
      </c>
      <c r="C99" s="354">
        <v>1.3538737493225832E-2</v>
      </c>
      <c r="D99" s="342">
        <f t="shared" si="1"/>
        <v>6.8653674721061361E-2</v>
      </c>
      <c r="E99" s="356">
        <v>1.665367472106136E-2</v>
      </c>
      <c r="F99" s="356">
        <v>0.15</v>
      </c>
      <c r="G99" s="1" t="s">
        <v>359</v>
      </c>
    </row>
    <row r="100" spans="1:7" ht="16">
      <c r="A100" s="44" t="s">
        <v>308</v>
      </c>
      <c r="B100" s="50" t="s">
        <v>695</v>
      </c>
      <c r="C100" s="354">
        <v>0</v>
      </c>
      <c r="D100" s="342">
        <f t="shared" si="1"/>
        <v>5.1999999999999998E-2</v>
      </c>
      <c r="E100" s="356">
        <v>0</v>
      </c>
      <c r="F100" s="356">
        <v>0.2601</v>
      </c>
      <c r="G100" s="1" t="s">
        <v>358</v>
      </c>
    </row>
    <row r="101" spans="1:7" ht="16">
      <c r="A101" s="44" t="s">
        <v>748</v>
      </c>
      <c r="B101" s="50" t="s">
        <v>702</v>
      </c>
      <c r="C101" s="354">
        <v>6.8202662559859444E-3</v>
      </c>
      <c r="D101" s="342">
        <f t="shared" si="1"/>
        <v>6.0389445160233916E-2</v>
      </c>
      <c r="E101" s="356">
        <v>8.389445160233917E-3</v>
      </c>
      <c r="F101" s="356">
        <v>0.12</v>
      </c>
      <c r="G101" s="1" t="s">
        <v>434</v>
      </c>
    </row>
    <row r="102" spans="1:7" ht="16">
      <c r="A102" s="44" t="s">
        <v>309</v>
      </c>
      <c r="B102" s="50" t="s">
        <v>699</v>
      </c>
      <c r="C102" s="354">
        <v>4.0616212479677498E-2</v>
      </c>
      <c r="D102" s="342">
        <f t="shared" si="1"/>
        <v>0.10196102416318409</v>
      </c>
      <c r="E102" s="356">
        <v>4.9961024163184084E-2</v>
      </c>
      <c r="F102" s="356">
        <v>0.1</v>
      </c>
      <c r="G102" s="1" t="s">
        <v>359</v>
      </c>
    </row>
    <row r="103" spans="1:7" ht="16">
      <c r="A103" s="355" t="s">
        <v>720</v>
      </c>
      <c r="B103" s="50" t="s">
        <v>100</v>
      </c>
      <c r="C103" s="287">
        <v>7.3394208515908457E-2</v>
      </c>
      <c r="D103" s="342">
        <f t="shared" si="1"/>
        <v>0.14228044717206947</v>
      </c>
      <c r="E103" s="3">
        <v>9.028044717206947E-2</v>
      </c>
      <c r="F103" s="287">
        <v>0.2</v>
      </c>
      <c r="G103" s="1" t="s">
        <v>360</v>
      </c>
    </row>
    <row r="104" spans="1:7" ht="16">
      <c r="A104" s="355" t="s">
        <v>721</v>
      </c>
      <c r="B104" s="50" t="s">
        <v>100</v>
      </c>
      <c r="C104" s="287">
        <v>8.4591660577974931E-2</v>
      </c>
      <c r="D104" s="342">
        <f t="shared" si="1"/>
        <v>0.15605416310678188</v>
      </c>
      <c r="E104" s="3">
        <v>0.10405416310678188</v>
      </c>
      <c r="F104" s="287">
        <v>0.3</v>
      </c>
      <c r="G104" s="1" t="s">
        <v>360</v>
      </c>
    </row>
    <row r="105" spans="1:7" ht="16">
      <c r="A105" s="44" t="s">
        <v>310</v>
      </c>
      <c r="B105" s="50" t="s">
        <v>709</v>
      </c>
      <c r="C105" s="354">
        <v>1.3538737493225832E-2</v>
      </c>
      <c r="D105" s="342">
        <f t="shared" si="1"/>
        <v>6.8653674721061361E-2</v>
      </c>
      <c r="E105" s="356">
        <v>1.665367472106136E-2</v>
      </c>
      <c r="F105" s="356">
        <v>0.24</v>
      </c>
      <c r="G105" s="1" t="s">
        <v>434</v>
      </c>
    </row>
    <row r="106" spans="1:7" ht="16">
      <c r="A106" s="44" t="s">
        <v>749</v>
      </c>
      <c r="B106" s="50" t="s">
        <v>693</v>
      </c>
      <c r="C106" s="354">
        <v>6.2094961435095908E-2</v>
      </c>
      <c r="D106" s="342">
        <f t="shared" si="1"/>
        <v>0.12838151563795058</v>
      </c>
      <c r="E106" s="356">
        <v>7.6381515637950578E-2</v>
      </c>
      <c r="F106" s="356">
        <v>0</v>
      </c>
      <c r="G106" s="1" t="s">
        <v>434</v>
      </c>
    </row>
    <row r="107" spans="1:7" ht="16">
      <c r="A107" s="355" t="s">
        <v>722</v>
      </c>
      <c r="B107" s="50" t="s">
        <v>100</v>
      </c>
      <c r="C107" s="287">
        <v>8.4591660577974931E-2</v>
      </c>
      <c r="D107" s="342">
        <f t="shared" si="1"/>
        <v>0.15605416310678188</v>
      </c>
      <c r="E107" s="3">
        <v>0.10405416310678188</v>
      </c>
      <c r="F107" s="287">
        <v>0.29149999999999998</v>
      </c>
      <c r="G107" s="1" t="s">
        <v>360</v>
      </c>
    </row>
    <row r="108" spans="1:7" ht="16">
      <c r="A108" s="44" t="s">
        <v>311</v>
      </c>
      <c r="B108" s="50" t="s">
        <v>709</v>
      </c>
      <c r="C108" s="354">
        <v>1.3538737493225832E-2</v>
      </c>
      <c r="D108" s="342">
        <f t="shared" si="1"/>
        <v>6.8653674721061361E-2</v>
      </c>
      <c r="E108" s="356">
        <v>1.665367472106136E-2</v>
      </c>
      <c r="F108" s="356">
        <v>0.35</v>
      </c>
      <c r="G108" s="1" t="s">
        <v>358</v>
      </c>
    </row>
    <row r="109" spans="1:7" ht="16">
      <c r="A109" s="44" t="s">
        <v>312</v>
      </c>
      <c r="B109" s="50" t="s">
        <v>694</v>
      </c>
      <c r="C109" s="354">
        <v>1.8017718318052423E-2</v>
      </c>
      <c r="D109" s="342">
        <f t="shared" si="1"/>
        <v>7.416316109494632E-2</v>
      </c>
      <c r="E109" s="356">
        <v>2.2163161094946322E-2</v>
      </c>
      <c r="F109" s="356">
        <v>0.15</v>
      </c>
      <c r="G109" s="1" t="s">
        <v>434</v>
      </c>
    </row>
    <row r="110" spans="1:7" ht="16">
      <c r="A110" s="44" t="s">
        <v>313</v>
      </c>
      <c r="B110" s="50" t="s">
        <v>709</v>
      </c>
      <c r="C110" s="354">
        <v>1.3538737493225832E-2</v>
      </c>
      <c r="D110" s="342">
        <f t="shared" si="1"/>
        <v>6.8653674721061361E-2</v>
      </c>
      <c r="E110" s="356">
        <v>1.665367472106136E-2</v>
      </c>
      <c r="F110" s="356">
        <v>0.3</v>
      </c>
      <c r="G110" s="1" t="s">
        <v>361</v>
      </c>
    </row>
    <row r="111" spans="1:7" ht="16">
      <c r="A111" s="44" t="s">
        <v>372</v>
      </c>
      <c r="B111" s="50" t="s">
        <v>703</v>
      </c>
      <c r="C111" s="354">
        <v>7.3394208515908457E-2</v>
      </c>
      <c r="D111" s="342">
        <f t="shared" si="1"/>
        <v>0.14228044717206947</v>
      </c>
      <c r="E111" s="356">
        <v>9.028044717206947E-2</v>
      </c>
      <c r="F111" s="356">
        <v>0.12</v>
      </c>
      <c r="G111" s="1" t="s">
        <v>359</v>
      </c>
    </row>
    <row r="112" spans="1:7" ht="16">
      <c r="A112" s="44" t="s">
        <v>373</v>
      </c>
      <c r="B112" s="50" t="s">
        <v>703</v>
      </c>
      <c r="C112" s="354">
        <v>7.3394208515908457E-2</v>
      </c>
      <c r="D112" s="342">
        <f t="shared" si="1"/>
        <v>0.14228044717206947</v>
      </c>
      <c r="E112" s="356">
        <v>9.028044717206947E-2</v>
      </c>
      <c r="F112" s="356">
        <v>0.33</v>
      </c>
      <c r="G112" s="1" t="s">
        <v>434</v>
      </c>
    </row>
    <row r="113" spans="1:7" ht="16">
      <c r="A113" s="44" t="s">
        <v>314</v>
      </c>
      <c r="B113" s="50" t="s">
        <v>690</v>
      </c>
      <c r="C113" s="354">
        <v>5.0795714354283386E-2</v>
      </c>
      <c r="D113" s="342">
        <f t="shared" si="1"/>
        <v>0.11448258410383172</v>
      </c>
      <c r="E113" s="356">
        <v>6.2482584103831722E-2</v>
      </c>
      <c r="F113" s="356">
        <v>0.09</v>
      </c>
      <c r="G113" s="1" t="s">
        <v>359</v>
      </c>
    </row>
    <row r="114" spans="1:7" ht="16">
      <c r="A114" s="44" t="s">
        <v>495</v>
      </c>
      <c r="B114" s="50" t="s">
        <v>698</v>
      </c>
      <c r="C114" s="354">
        <v>2.4837984574038366E-2</v>
      </c>
      <c r="D114" s="342">
        <f t="shared" si="1"/>
        <v>8.2552606255180239E-2</v>
      </c>
      <c r="E114" s="356">
        <v>3.0552606255180234E-2</v>
      </c>
      <c r="F114" s="356">
        <v>0.27979999999999999</v>
      </c>
      <c r="G114" s="1" t="s">
        <v>364</v>
      </c>
    </row>
    <row r="115" spans="1:7" ht="16">
      <c r="A115" s="44" t="s">
        <v>374</v>
      </c>
      <c r="B115" s="50" t="s">
        <v>711</v>
      </c>
      <c r="C115" s="354">
        <v>2.8197220192658311E-2</v>
      </c>
      <c r="D115" s="342">
        <f t="shared" si="1"/>
        <v>8.6684721035593965E-2</v>
      </c>
      <c r="E115" s="356">
        <v>3.468472103559396E-2</v>
      </c>
      <c r="F115" s="356">
        <v>0.31</v>
      </c>
      <c r="G115" s="1" t="s">
        <v>360</v>
      </c>
    </row>
    <row r="116" spans="1:7" ht="16">
      <c r="A116" s="44" t="s">
        <v>315</v>
      </c>
      <c r="B116" s="50" t="s">
        <v>700</v>
      </c>
      <c r="C116" s="354">
        <v>0.11278888077063325</v>
      </c>
      <c r="D116" s="342">
        <f t="shared" si="1"/>
        <v>0.19073888414237583</v>
      </c>
      <c r="E116" s="356">
        <v>0.13873888414237584</v>
      </c>
      <c r="F116" s="356">
        <v>0.32</v>
      </c>
      <c r="G116" s="1" t="s">
        <v>360</v>
      </c>
    </row>
    <row r="117" spans="1:7" ht="16">
      <c r="A117" s="355" t="s">
        <v>723</v>
      </c>
      <c r="B117" s="50" t="s">
        <v>100</v>
      </c>
      <c r="C117" s="287">
        <v>8.4591660577974931E-2</v>
      </c>
      <c r="D117" s="342">
        <f t="shared" si="1"/>
        <v>0.15605416310678188</v>
      </c>
      <c r="E117" s="3">
        <v>0.10405416310678188</v>
      </c>
      <c r="F117" s="287">
        <v>0.25</v>
      </c>
      <c r="G117" s="1" t="s">
        <v>434</v>
      </c>
    </row>
    <row r="118" spans="1:7" ht="16">
      <c r="A118" s="44" t="s">
        <v>316</v>
      </c>
      <c r="B118" s="50" t="s">
        <v>711</v>
      </c>
      <c r="C118" s="354">
        <v>2.8197220192658311E-2</v>
      </c>
      <c r="D118" s="342">
        <f t="shared" si="1"/>
        <v>8.6684721035593965E-2</v>
      </c>
      <c r="E118" s="356">
        <v>3.468472103559396E-2</v>
      </c>
      <c r="F118" s="356">
        <v>0.32</v>
      </c>
      <c r="G118" s="1" t="s">
        <v>360</v>
      </c>
    </row>
    <row r="119" spans="1:7" ht="16">
      <c r="A119" s="44" t="s">
        <v>317</v>
      </c>
      <c r="B119" s="50" t="s">
        <v>695</v>
      </c>
      <c r="C119" s="354">
        <v>0</v>
      </c>
      <c r="D119" s="342">
        <f t="shared" si="1"/>
        <v>5.1999999999999998E-2</v>
      </c>
      <c r="E119" s="356">
        <v>0</v>
      </c>
      <c r="F119" s="356">
        <v>0.25</v>
      </c>
      <c r="G119" s="1" t="s">
        <v>358</v>
      </c>
    </row>
    <row r="120" spans="1:7" ht="16">
      <c r="A120" s="44" t="s">
        <v>318</v>
      </c>
      <c r="B120" s="50" t="s">
        <v>695</v>
      </c>
      <c r="C120" s="354">
        <v>0</v>
      </c>
      <c r="D120" s="342">
        <f t="shared" si="1"/>
        <v>5.1999999999999998E-2</v>
      </c>
      <c r="E120" s="356">
        <v>0</v>
      </c>
      <c r="F120" s="356">
        <v>0.28000000000000003</v>
      </c>
      <c r="G120" s="1" t="s">
        <v>362</v>
      </c>
    </row>
    <row r="121" spans="1:7" ht="16">
      <c r="A121" s="44" t="s">
        <v>375</v>
      </c>
      <c r="B121" s="50" t="s">
        <v>693</v>
      </c>
      <c r="C121" s="354">
        <v>6.2094961435095908E-2</v>
      </c>
      <c r="D121" s="342">
        <f t="shared" si="1"/>
        <v>0.12838151563795058</v>
      </c>
      <c r="E121" s="356">
        <v>7.6381515637950578E-2</v>
      </c>
      <c r="F121" s="356">
        <v>0.3</v>
      </c>
      <c r="G121" s="1" t="s">
        <v>361</v>
      </c>
    </row>
    <row r="122" spans="1:7" ht="16">
      <c r="A122" s="355" t="s">
        <v>724</v>
      </c>
      <c r="B122" s="50" t="s">
        <v>100</v>
      </c>
      <c r="C122" s="287">
        <v>0.1353873749322583</v>
      </c>
      <c r="D122" s="342">
        <f t="shared" si="1"/>
        <v>0.21853674721061356</v>
      </c>
      <c r="E122" s="3">
        <v>0.16653674721061357</v>
      </c>
      <c r="F122" s="287">
        <v>0.28210000000000002</v>
      </c>
      <c r="G122" s="1" t="s">
        <v>360</v>
      </c>
    </row>
    <row r="123" spans="1:7" ht="16">
      <c r="A123" s="44" t="s">
        <v>319</v>
      </c>
      <c r="B123" s="50" t="s">
        <v>693</v>
      </c>
      <c r="C123" s="354">
        <v>6.2094961435095908E-2</v>
      </c>
      <c r="D123" s="342">
        <f t="shared" si="1"/>
        <v>0.12838151563795058</v>
      </c>
      <c r="E123" s="356">
        <v>7.6381515637950578E-2</v>
      </c>
      <c r="F123" s="356">
        <v>0.3</v>
      </c>
      <c r="G123" s="1" t="s">
        <v>360</v>
      </c>
    </row>
    <row r="124" spans="1:7" ht="16">
      <c r="A124" s="44" t="s">
        <v>320</v>
      </c>
      <c r="B124" s="50" t="s">
        <v>695</v>
      </c>
      <c r="C124" s="354">
        <v>0</v>
      </c>
      <c r="D124" s="342">
        <f t="shared" si="1"/>
        <v>5.1999999999999998E-2</v>
      </c>
      <c r="E124" s="356">
        <v>0</v>
      </c>
      <c r="F124" s="356">
        <v>0.23</v>
      </c>
      <c r="G124" s="1" t="s">
        <v>358</v>
      </c>
    </row>
    <row r="125" spans="1:7" ht="16">
      <c r="A125" s="44" t="s">
        <v>321</v>
      </c>
      <c r="B125" s="50" t="s">
        <v>698</v>
      </c>
      <c r="C125" s="354">
        <v>2.4837984574038366E-2</v>
      </c>
      <c r="D125" s="342">
        <f t="shared" si="1"/>
        <v>8.2552606255180239E-2</v>
      </c>
      <c r="E125" s="356">
        <v>3.0552606255180234E-2</v>
      </c>
      <c r="F125" s="356">
        <v>0.15</v>
      </c>
      <c r="G125" s="1" t="s">
        <v>365</v>
      </c>
    </row>
    <row r="126" spans="1:7" ht="16">
      <c r="A126" s="44" t="s">
        <v>322</v>
      </c>
      <c r="B126" s="50" t="s">
        <v>703</v>
      </c>
      <c r="C126" s="354">
        <v>7.3394208515908457E-2</v>
      </c>
      <c r="D126" s="342">
        <f t="shared" si="1"/>
        <v>0.14228044717206947</v>
      </c>
      <c r="E126" s="356">
        <v>9.028044717206947E-2</v>
      </c>
      <c r="F126" s="356">
        <v>0.3</v>
      </c>
      <c r="G126" s="1" t="s">
        <v>434</v>
      </c>
    </row>
    <row r="127" spans="1:7" ht="16">
      <c r="A127" s="44" t="s">
        <v>323</v>
      </c>
      <c r="B127" s="50" t="s">
        <v>692</v>
      </c>
      <c r="C127" s="354">
        <v>2.147874895541842E-2</v>
      </c>
      <c r="D127" s="342">
        <f t="shared" si="1"/>
        <v>7.8420491474766513E-2</v>
      </c>
      <c r="E127" s="356">
        <v>2.6420491474766512E-2</v>
      </c>
      <c r="F127" s="356">
        <v>0.25</v>
      </c>
      <c r="G127" s="1" t="s">
        <v>361</v>
      </c>
    </row>
    <row r="128" spans="1:7" ht="16">
      <c r="A128" s="44" t="s">
        <v>324</v>
      </c>
      <c r="B128" s="50" t="s">
        <v>693</v>
      </c>
      <c r="C128" s="354">
        <v>6.2094961435095908E-2</v>
      </c>
      <c r="D128" s="342">
        <f t="shared" si="1"/>
        <v>0.12838151563795058</v>
      </c>
      <c r="E128" s="356">
        <v>7.6381515637950578E-2</v>
      </c>
      <c r="F128" s="356">
        <v>0.3</v>
      </c>
      <c r="G128" s="1" t="s">
        <v>434</v>
      </c>
    </row>
    <row r="129" spans="1:7" ht="16">
      <c r="A129" s="44" t="s">
        <v>325</v>
      </c>
      <c r="B129" s="50" t="s">
        <v>711</v>
      </c>
      <c r="C129" s="354">
        <v>2.8197220192658311E-2</v>
      </c>
      <c r="D129" s="342">
        <f t="shared" si="1"/>
        <v>8.6684721035593965E-2</v>
      </c>
      <c r="E129" s="356">
        <v>3.468472103559396E-2</v>
      </c>
      <c r="F129" s="356">
        <v>0.1</v>
      </c>
      <c r="G129" s="1" t="s">
        <v>361</v>
      </c>
    </row>
    <row r="130" spans="1:7" ht="16">
      <c r="A130" s="44" t="s">
        <v>326</v>
      </c>
      <c r="B130" s="50" t="s">
        <v>709</v>
      </c>
      <c r="C130" s="354">
        <v>1.3538737493225832E-2</v>
      </c>
      <c r="D130" s="342">
        <f t="shared" si="1"/>
        <v>6.8653674721061361E-2</v>
      </c>
      <c r="E130" s="356">
        <v>1.665367472106136E-2</v>
      </c>
      <c r="F130" s="356">
        <v>0.29499999999999998</v>
      </c>
      <c r="G130" s="1" t="s">
        <v>361</v>
      </c>
    </row>
    <row r="131" spans="1:7" ht="16">
      <c r="A131" s="44" t="s">
        <v>327</v>
      </c>
      <c r="B131" s="50" t="s">
        <v>692</v>
      </c>
      <c r="C131" s="354">
        <v>2.147874895541842E-2</v>
      </c>
      <c r="D131" s="342">
        <f t="shared" si="1"/>
        <v>7.8420491474766513E-2</v>
      </c>
      <c r="E131" s="356">
        <v>2.6420491474766512E-2</v>
      </c>
      <c r="F131" s="356">
        <v>0.3</v>
      </c>
      <c r="G131" s="1" t="s">
        <v>434</v>
      </c>
    </row>
    <row r="132" spans="1:7" ht="16">
      <c r="A132" s="44" t="s">
        <v>328</v>
      </c>
      <c r="B132" s="50" t="s">
        <v>705</v>
      </c>
      <c r="C132" s="354">
        <v>9.5687317621295353E-3</v>
      </c>
      <c r="D132" s="342">
        <f t="shared" si="1"/>
        <v>6.3770266344208779E-2</v>
      </c>
      <c r="E132" s="356">
        <v>1.1770266344208781E-2</v>
      </c>
      <c r="F132" s="356">
        <v>0.19</v>
      </c>
      <c r="G132" s="1" t="s">
        <v>359</v>
      </c>
    </row>
    <row r="133" spans="1:7" ht="16">
      <c r="A133" s="44" t="s">
        <v>329</v>
      </c>
      <c r="B133" s="50" t="s">
        <v>698</v>
      </c>
      <c r="C133" s="354">
        <v>2.4837984574038366E-2</v>
      </c>
      <c r="D133" s="342">
        <f t="shared" si="1"/>
        <v>8.2552606255180239E-2</v>
      </c>
      <c r="E133" s="356">
        <v>3.0552606255180234E-2</v>
      </c>
      <c r="F133" s="356">
        <v>0.21</v>
      </c>
      <c r="G133" s="1" t="s">
        <v>358</v>
      </c>
    </row>
    <row r="134" spans="1:7" ht="16">
      <c r="A134" s="44" t="s">
        <v>330</v>
      </c>
      <c r="B134" s="50" t="s">
        <v>702</v>
      </c>
      <c r="C134" s="354">
        <v>6.8202662559859444E-3</v>
      </c>
      <c r="D134" s="342">
        <f t="shared" ref="D134:D172" si="2">$D$173+E134</f>
        <v>6.0389445160233916E-2</v>
      </c>
      <c r="E134" s="356">
        <v>8.389445160233917E-3</v>
      </c>
      <c r="F134" s="356">
        <v>0.1</v>
      </c>
      <c r="G134" s="1" t="s">
        <v>365</v>
      </c>
    </row>
    <row r="135" spans="1:7" ht="16">
      <c r="A135" s="44" t="s">
        <v>512</v>
      </c>
      <c r="B135" s="50" t="s">
        <v>705</v>
      </c>
      <c r="C135" s="354">
        <v>9.5687317621295353E-3</v>
      </c>
      <c r="D135" s="342">
        <f t="shared" si="2"/>
        <v>6.3770266344208779E-2</v>
      </c>
      <c r="E135" s="356">
        <v>1.1770266344208781E-2</v>
      </c>
      <c r="F135" s="356">
        <v>0</v>
      </c>
      <c r="G135" s="1" t="s">
        <v>365</v>
      </c>
    </row>
    <row r="136" spans="1:7" ht="16">
      <c r="A136" s="44" t="s">
        <v>331</v>
      </c>
      <c r="B136" s="50" t="s">
        <v>698</v>
      </c>
      <c r="C136" s="354">
        <v>2.4837984574038366E-2</v>
      </c>
      <c r="D136" s="342">
        <f t="shared" si="2"/>
        <v>8.2552606255180239E-2</v>
      </c>
      <c r="E136" s="356">
        <v>3.0552606255180234E-2</v>
      </c>
      <c r="F136" s="356">
        <v>0.16</v>
      </c>
      <c r="G136" s="1" t="s">
        <v>359</v>
      </c>
    </row>
    <row r="137" spans="1:7" ht="16">
      <c r="A137" s="44" t="s">
        <v>332</v>
      </c>
      <c r="B137" s="50" t="s">
        <v>711</v>
      </c>
      <c r="C137" s="354">
        <v>2.8197220192658311E-2</v>
      </c>
      <c r="D137" s="342">
        <f t="shared" si="2"/>
        <v>8.6684721035593965E-2</v>
      </c>
      <c r="E137" s="356">
        <v>3.468472103559396E-2</v>
      </c>
      <c r="F137" s="356">
        <v>0.2</v>
      </c>
      <c r="G137" s="1" t="s">
        <v>359</v>
      </c>
    </row>
    <row r="138" spans="1:7" ht="16">
      <c r="A138" s="44" t="s">
        <v>496</v>
      </c>
      <c r="B138" s="50" t="s">
        <v>693</v>
      </c>
      <c r="C138" s="354">
        <v>6.2094961435095908E-2</v>
      </c>
      <c r="D138" s="342">
        <f t="shared" si="2"/>
        <v>0.12838151563795058</v>
      </c>
      <c r="E138" s="356">
        <v>7.6381515637950578E-2</v>
      </c>
      <c r="F138" s="356">
        <v>0.3</v>
      </c>
      <c r="G138" s="1" t="s">
        <v>360</v>
      </c>
    </row>
    <row r="139" spans="1:7" ht="16">
      <c r="A139" s="44" t="s">
        <v>333</v>
      </c>
      <c r="B139" s="50" t="s">
        <v>707</v>
      </c>
      <c r="C139" s="354">
        <v>7.9400114621925918E-3</v>
      </c>
      <c r="D139" s="342">
        <f t="shared" si="2"/>
        <v>6.1766816753705156E-2</v>
      </c>
      <c r="E139" s="356">
        <v>9.7668167537051567E-3</v>
      </c>
      <c r="F139" s="356">
        <v>0.2</v>
      </c>
      <c r="G139" s="1" t="s">
        <v>365</v>
      </c>
    </row>
    <row r="140" spans="1:7" ht="16">
      <c r="A140" s="44" t="s">
        <v>376</v>
      </c>
      <c r="B140" s="50" t="s">
        <v>699</v>
      </c>
      <c r="C140" s="354">
        <v>4.0616212479677498E-2</v>
      </c>
      <c r="D140" s="342">
        <f t="shared" si="2"/>
        <v>0.10196102416318409</v>
      </c>
      <c r="E140" s="356">
        <v>4.9961024163184084E-2</v>
      </c>
      <c r="F140" s="356">
        <v>0.3</v>
      </c>
      <c r="G140" s="1" t="s">
        <v>360</v>
      </c>
    </row>
    <row r="141" spans="1:7" ht="16">
      <c r="A141" s="44" t="s">
        <v>334</v>
      </c>
      <c r="B141" s="50" t="s">
        <v>699</v>
      </c>
      <c r="C141" s="354">
        <v>4.0616212479677498E-2</v>
      </c>
      <c r="D141" s="342">
        <f t="shared" si="2"/>
        <v>0.10196102416318409</v>
      </c>
      <c r="E141" s="356">
        <v>4.9961024163184084E-2</v>
      </c>
      <c r="F141" s="356">
        <v>0.15</v>
      </c>
      <c r="G141" s="1" t="s">
        <v>359</v>
      </c>
    </row>
    <row r="142" spans="1:7" ht="16">
      <c r="A142" s="44" t="s">
        <v>513</v>
      </c>
      <c r="B142" s="50" t="s">
        <v>709</v>
      </c>
      <c r="C142" s="354">
        <v>1.3538737493225832E-2</v>
      </c>
      <c r="D142" s="342">
        <f t="shared" si="2"/>
        <v>6.8653674721061361E-2</v>
      </c>
      <c r="E142" s="356">
        <v>1.665367472106136E-2</v>
      </c>
      <c r="F142" s="356">
        <v>0.2</v>
      </c>
      <c r="G142" s="1" t="s">
        <v>365</v>
      </c>
    </row>
    <row r="143" spans="1:7" ht="16">
      <c r="A143" s="355" t="s">
        <v>725</v>
      </c>
      <c r="B143" s="50" t="s">
        <v>100</v>
      </c>
      <c r="C143" s="287">
        <v>0.1353873749322583</v>
      </c>
      <c r="D143" s="342">
        <f t="shared" si="2"/>
        <v>0.21853674721061356</v>
      </c>
      <c r="E143" s="3">
        <v>0.16653674721061357</v>
      </c>
      <c r="F143" s="287">
        <v>0.3</v>
      </c>
      <c r="G143" s="1" t="s">
        <v>360</v>
      </c>
    </row>
    <row r="144" spans="1:7" ht="16">
      <c r="A144" s="44" t="s">
        <v>335</v>
      </c>
      <c r="B144" s="50" t="s">
        <v>695</v>
      </c>
      <c r="C144" s="354">
        <v>0</v>
      </c>
      <c r="D144" s="342">
        <f t="shared" si="2"/>
        <v>5.1999999999999998E-2</v>
      </c>
      <c r="E144" s="356">
        <v>0</v>
      </c>
      <c r="F144" s="356">
        <v>0.17</v>
      </c>
      <c r="G144" s="1" t="s">
        <v>434</v>
      </c>
    </row>
    <row r="145" spans="1:7" ht="16">
      <c r="A145" s="44" t="s">
        <v>377</v>
      </c>
      <c r="B145" s="50" t="s">
        <v>705</v>
      </c>
      <c r="C145" s="354">
        <v>9.5687317621295353E-3</v>
      </c>
      <c r="D145" s="342">
        <f t="shared" si="2"/>
        <v>6.3770266344208779E-2</v>
      </c>
      <c r="E145" s="356">
        <v>1.1770266344208781E-2</v>
      </c>
      <c r="F145" s="356">
        <v>0.21</v>
      </c>
      <c r="G145" s="1" t="s">
        <v>359</v>
      </c>
    </row>
    <row r="146" spans="1:7" ht="16">
      <c r="A146" s="44" t="s">
        <v>336</v>
      </c>
      <c r="B146" s="50" t="s">
        <v>694</v>
      </c>
      <c r="C146" s="354">
        <v>1.8017718318052423E-2</v>
      </c>
      <c r="D146" s="342">
        <f t="shared" si="2"/>
        <v>7.416316109494632E-2</v>
      </c>
      <c r="E146" s="356">
        <v>2.2163161094946322E-2</v>
      </c>
      <c r="F146" s="356">
        <v>0.19</v>
      </c>
      <c r="G146" s="1" t="s">
        <v>359</v>
      </c>
    </row>
    <row r="147" spans="1:7" ht="16">
      <c r="A147" s="44" t="s">
        <v>726</v>
      </c>
      <c r="B147" s="50" t="s">
        <v>703</v>
      </c>
      <c r="C147" s="354">
        <v>7.3394208515908457E-2</v>
      </c>
      <c r="D147" s="342">
        <f t="shared" si="2"/>
        <v>0.14228044717206947</v>
      </c>
      <c r="E147" s="356">
        <v>9.028044717206947E-2</v>
      </c>
      <c r="F147" s="356">
        <v>0.3</v>
      </c>
      <c r="G147" s="1" t="s">
        <v>434</v>
      </c>
    </row>
    <row r="148" spans="1:7" ht="16">
      <c r="A148" s="355" t="s">
        <v>727</v>
      </c>
      <c r="B148" s="50" t="s">
        <v>100</v>
      </c>
      <c r="C148" s="287">
        <v>0.1353873749322583</v>
      </c>
      <c r="D148" s="342">
        <f t="shared" si="2"/>
        <v>0.21853674721061356</v>
      </c>
      <c r="E148" s="3">
        <v>0.16653674721061357</v>
      </c>
      <c r="F148" s="287">
        <v>0.29149999999999998</v>
      </c>
      <c r="G148" s="1" t="s">
        <v>360</v>
      </c>
    </row>
    <row r="149" spans="1:7" ht="16">
      <c r="A149" s="44" t="s">
        <v>337</v>
      </c>
      <c r="B149" s="50" t="s">
        <v>698</v>
      </c>
      <c r="C149" s="354">
        <v>2.4837984574038366E-2</v>
      </c>
      <c r="D149" s="342">
        <f t="shared" si="2"/>
        <v>8.2552606255180239E-2</v>
      </c>
      <c r="E149" s="356">
        <v>3.0552606255180234E-2</v>
      </c>
      <c r="F149" s="356">
        <v>0.28000000000000003</v>
      </c>
      <c r="G149" s="1" t="s">
        <v>360</v>
      </c>
    </row>
    <row r="150" spans="1:7" ht="16">
      <c r="A150" s="44" t="s">
        <v>338</v>
      </c>
      <c r="B150" s="50" t="s">
        <v>694</v>
      </c>
      <c r="C150" s="354">
        <v>1.8017718318052423E-2</v>
      </c>
      <c r="D150" s="342">
        <f t="shared" si="2"/>
        <v>7.416316109494632E-2</v>
      </c>
      <c r="E150" s="356">
        <v>2.2163161094946322E-2</v>
      </c>
      <c r="F150" s="356">
        <v>0.25</v>
      </c>
      <c r="G150" s="1" t="s">
        <v>358</v>
      </c>
    </row>
    <row r="151" spans="1:7" ht="16">
      <c r="A151" s="44" t="s">
        <v>339</v>
      </c>
      <c r="B151" s="50" t="s">
        <v>690</v>
      </c>
      <c r="C151" s="354">
        <v>5.0795714354283386E-2</v>
      </c>
      <c r="D151" s="342">
        <f t="shared" si="2"/>
        <v>0.11448258410383172</v>
      </c>
      <c r="E151" s="356">
        <v>6.2482584103831722E-2</v>
      </c>
      <c r="F151" s="356">
        <v>0.28000000000000003</v>
      </c>
      <c r="G151" s="1" t="s">
        <v>434</v>
      </c>
    </row>
    <row r="152" spans="1:7" ht="16">
      <c r="A152" s="44" t="s">
        <v>436</v>
      </c>
      <c r="B152" s="50" t="s">
        <v>692</v>
      </c>
      <c r="C152" s="354">
        <v>2.147874895541842E-2</v>
      </c>
      <c r="D152" s="342">
        <f t="shared" si="2"/>
        <v>7.8420491474766513E-2</v>
      </c>
      <c r="E152" s="356">
        <v>2.6420491474766512E-2</v>
      </c>
      <c r="F152" s="356">
        <v>0.35</v>
      </c>
      <c r="G152" s="1" t="s">
        <v>364</v>
      </c>
    </row>
    <row r="153" spans="1:7" ht="16">
      <c r="A153" s="44" t="s">
        <v>378</v>
      </c>
      <c r="B153" s="50" t="s">
        <v>703</v>
      </c>
      <c r="C153" s="354">
        <v>7.3394208515908457E-2</v>
      </c>
      <c r="D153" s="342">
        <f t="shared" si="2"/>
        <v>0.14228044717206947</v>
      </c>
      <c r="E153" s="356">
        <v>9.028044717206947E-2</v>
      </c>
      <c r="F153" s="356">
        <v>0.2</v>
      </c>
      <c r="G153" s="1" t="s">
        <v>364</v>
      </c>
    </row>
    <row r="154" spans="1:7" ht="16">
      <c r="A154" s="355" t="s">
        <v>728</v>
      </c>
      <c r="B154" s="50" t="s">
        <v>100</v>
      </c>
      <c r="C154" s="287">
        <v>0.18</v>
      </c>
      <c r="D154" s="342">
        <f t="shared" si="2"/>
        <v>0.27341366218902891</v>
      </c>
      <c r="E154" s="3">
        <v>0.22141366218902891</v>
      </c>
      <c r="F154" s="287">
        <v>0.35</v>
      </c>
      <c r="G154" s="1" t="s">
        <v>360</v>
      </c>
    </row>
    <row r="155" spans="1:7" ht="16">
      <c r="A155" s="44" t="s">
        <v>379</v>
      </c>
      <c r="B155" s="50" t="s">
        <v>693</v>
      </c>
      <c r="C155" s="354">
        <v>6.2094961435095908E-2</v>
      </c>
      <c r="D155" s="342">
        <f t="shared" si="2"/>
        <v>0.12838151563795058</v>
      </c>
      <c r="E155" s="356">
        <v>7.6381515637950578E-2</v>
      </c>
      <c r="F155" s="356">
        <v>0.36</v>
      </c>
      <c r="G155" s="1" t="s">
        <v>361</v>
      </c>
    </row>
    <row r="156" spans="1:7" ht="16">
      <c r="A156" s="44" t="s">
        <v>729</v>
      </c>
      <c r="B156" s="50" t="s">
        <v>693</v>
      </c>
      <c r="C156" s="354">
        <v>6.2094961435095908E-2</v>
      </c>
      <c r="D156" s="342">
        <f t="shared" si="2"/>
        <v>0.12838151563795058</v>
      </c>
      <c r="E156" s="356">
        <v>7.6381515637950578E-2</v>
      </c>
      <c r="F156" s="356">
        <v>0.28000000000000003</v>
      </c>
      <c r="G156" s="1" t="s">
        <v>360</v>
      </c>
    </row>
    <row r="157" spans="1:7" ht="16">
      <c r="A157" s="44" t="s">
        <v>340</v>
      </c>
      <c r="B157" s="50" t="s">
        <v>695</v>
      </c>
      <c r="C157" s="354">
        <v>0</v>
      </c>
      <c r="D157" s="342">
        <f t="shared" si="2"/>
        <v>5.1999999999999998E-2</v>
      </c>
      <c r="E157" s="356">
        <v>0</v>
      </c>
      <c r="F157" s="356">
        <v>0.22</v>
      </c>
      <c r="G157" s="1" t="s">
        <v>358</v>
      </c>
    </row>
    <row r="158" spans="1:7" ht="16">
      <c r="A158" s="44" t="s">
        <v>341</v>
      </c>
      <c r="B158" s="50" t="s">
        <v>695</v>
      </c>
      <c r="C158" s="354">
        <v>0</v>
      </c>
      <c r="D158" s="342">
        <f t="shared" si="2"/>
        <v>5.1999999999999998E-2</v>
      </c>
      <c r="E158" s="356">
        <v>0</v>
      </c>
      <c r="F158" s="356">
        <v>0.18</v>
      </c>
      <c r="G158" s="1" t="s">
        <v>358</v>
      </c>
    </row>
    <row r="159" spans="1:7" ht="16">
      <c r="A159" s="355" t="s">
        <v>730</v>
      </c>
      <c r="B159" s="50" t="s">
        <v>100</v>
      </c>
      <c r="C159" s="287">
        <v>0.1353873749322583</v>
      </c>
      <c r="D159" s="342">
        <f t="shared" si="2"/>
        <v>0.21853674721061356</v>
      </c>
      <c r="E159" s="3">
        <v>0.16653674721061357</v>
      </c>
      <c r="F159" s="287">
        <v>0.28000000000000003</v>
      </c>
      <c r="G159" s="1" t="s">
        <v>365</v>
      </c>
    </row>
    <row r="160" spans="1:7" ht="16">
      <c r="A160" s="44" t="s">
        <v>342</v>
      </c>
      <c r="B160" s="50" t="s">
        <v>702</v>
      </c>
      <c r="C160" s="354">
        <v>1.8017718318052423E-2</v>
      </c>
      <c r="D160" s="342">
        <f t="shared" si="2"/>
        <v>7.416316109494632E-2</v>
      </c>
      <c r="E160" s="356">
        <v>2.2163161094946322E-2</v>
      </c>
      <c r="F160" s="356">
        <v>0.2</v>
      </c>
      <c r="G160" s="1" t="s">
        <v>434</v>
      </c>
    </row>
    <row r="161" spans="1:7" ht="16">
      <c r="A161" s="44" t="s">
        <v>731</v>
      </c>
      <c r="B161" s="50" t="s">
        <v>703</v>
      </c>
      <c r="C161" s="354">
        <v>2.8197220192658311E-2</v>
      </c>
      <c r="D161" s="342">
        <f t="shared" si="2"/>
        <v>8.6684721035593965E-2</v>
      </c>
      <c r="E161" s="356">
        <v>3.468472103559396E-2</v>
      </c>
      <c r="F161" s="356">
        <v>0.2</v>
      </c>
      <c r="G161" s="1" t="s">
        <v>359</v>
      </c>
    </row>
    <row r="162" spans="1:7" ht="16">
      <c r="A162" s="44" t="s">
        <v>732</v>
      </c>
      <c r="B162" s="50" t="s">
        <v>690</v>
      </c>
      <c r="C162" s="354">
        <v>5.0795714354283386E-2</v>
      </c>
      <c r="D162" s="342">
        <f t="shared" si="2"/>
        <v>0.11448258410383172</v>
      </c>
      <c r="E162" s="356">
        <v>6.2482584103831722E-2</v>
      </c>
      <c r="F162" s="356">
        <v>0.3</v>
      </c>
      <c r="G162" s="1" t="s">
        <v>360</v>
      </c>
    </row>
    <row r="163" spans="1:7" ht="16">
      <c r="A163" s="44" t="s">
        <v>343</v>
      </c>
      <c r="B163" s="50" t="s">
        <v>694</v>
      </c>
      <c r="C163" s="354">
        <v>1.8017718318052423E-2</v>
      </c>
      <c r="D163" s="342">
        <f t="shared" si="2"/>
        <v>7.416316109494632E-2</v>
      </c>
      <c r="E163" s="356">
        <v>2.2163161094946322E-2</v>
      </c>
      <c r="F163" s="356">
        <v>0.2</v>
      </c>
      <c r="G163" s="1" t="s">
        <v>434</v>
      </c>
    </row>
    <row r="164" spans="1:7" ht="16">
      <c r="A164" s="355" t="s">
        <v>733</v>
      </c>
      <c r="B164" s="50" t="s">
        <v>100</v>
      </c>
      <c r="C164" s="287">
        <v>8.4591660577974931E-2</v>
      </c>
      <c r="D164" s="342">
        <f t="shared" si="2"/>
        <v>0.15605416310678188</v>
      </c>
      <c r="E164" s="3">
        <v>0.10405416310678188</v>
      </c>
      <c r="F164" s="287">
        <v>0.29149999999999998</v>
      </c>
      <c r="G164" s="1" t="s">
        <v>360</v>
      </c>
    </row>
    <row r="165" spans="1:7" ht="16">
      <c r="A165" s="44" t="s">
        <v>750</v>
      </c>
      <c r="B165" s="50" t="s">
        <v>711</v>
      </c>
      <c r="C165" s="354">
        <v>2.8197220192658311E-2</v>
      </c>
      <c r="D165" s="342">
        <f t="shared" si="2"/>
        <v>8.6684721035593965E-2</v>
      </c>
      <c r="E165" s="356">
        <v>3.468472103559396E-2</v>
      </c>
      <c r="F165" s="356">
        <v>0.25</v>
      </c>
      <c r="G165" s="1" t="s">
        <v>364</v>
      </c>
    </row>
    <row r="166" spans="1:7" ht="16">
      <c r="A166" s="44" t="s">
        <v>344</v>
      </c>
      <c r="B166" s="50" t="s">
        <v>693</v>
      </c>
      <c r="C166" s="354">
        <v>6.2094961435095908E-2</v>
      </c>
      <c r="D166" s="342">
        <f t="shared" si="2"/>
        <v>0.12838151563795058</v>
      </c>
      <c r="E166" s="356">
        <v>7.6381515637950578E-2</v>
      </c>
      <c r="F166" s="356">
        <v>0.25</v>
      </c>
      <c r="G166" s="1" t="s">
        <v>360</v>
      </c>
    </row>
    <row r="167" spans="1:7" ht="16">
      <c r="A167" s="44" t="s">
        <v>345</v>
      </c>
      <c r="B167" s="50" t="s">
        <v>699</v>
      </c>
      <c r="C167" s="354">
        <v>4.0616212479677498E-2</v>
      </c>
      <c r="D167" s="342">
        <f t="shared" si="2"/>
        <v>0.10196102416318409</v>
      </c>
      <c r="E167" s="356">
        <v>4.9961024163184084E-2</v>
      </c>
      <c r="F167" s="356">
        <v>0.22</v>
      </c>
      <c r="G167" s="1" t="s">
        <v>358</v>
      </c>
    </row>
    <row r="168" spans="1:7" ht="16">
      <c r="A168" s="44" t="s">
        <v>751</v>
      </c>
      <c r="B168" s="50" t="s">
        <v>694</v>
      </c>
      <c r="C168" s="354">
        <v>1.8017718318052423E-2</v>
      </c>
      <c r="D168" s="342">
        <f t="shared" si="2"/>
        <v>7.416316109494632E-2</v>
      </c>
      <c r="E168" s="356">
        <v>2.2163161094946322E-2</v>
      </c>
      <c r="F168" s="356">
        <v>0</v>
      </c>
      <c r="G168" s="1" t="s">
        <v>364</v>
      </c>
    </row>
    <row r="169" spans="1:7" ht="16">
      <c r="A169" s="44" t="s">
        <v>437</v>
      </c>
      <c r="B169" s="50" t="s">
        <v>693</v>
      </c>
      <c r="C169" s="354">
        <v>6.2094961435095908E-2</v>
      </c>
      <c r="D169" s="342">
        <f t="shared" si="2"/>
        <v>0.12838151563795058</v>
      </c>
      <c r="E169" s="356">
        <v>7.6381515637950578E-2</v>
      </c>
      <c r="F169" s="356">
        <v>0.3</v>
      </c>
      <c r="G169" s="1" t="s">
        <v>360</v>
      </c>
    </row>
    <row r="170" spans="1:7" ht="16">
      <c r="A170" s="44" t="s">
        <v>346</v>
      </c>
      <c r="B170" s="50" t="s">
        <v>701</v>
      </c>
      <c r="C170" s="354">
        <v>8.4591660577974931E-2</v>
      </c>
      <c r="D170" s="342">
        <f t="shared" si="2"/>
        <v>0.15605416310678188</v>
      </c>
      <c r="E170" s="356">
        <v>0.10405416310678188</v>
      </c>
      <c r="F170" s="356">
        <v>0.18</v>
      </c>
      <c r="G170" s="1" t="s">
        <v>359</v>
      </c>
    </row>
    <row r="171" spans="1:7" ht="16">
      <c r="A171" s="44" t="s">
        <v>347</v>
      </c>
      <c r="B171" s="50" t="s">
        <v>689</v>
      </c>
      <c r="C171" s="354">
        <v>5.5987260310332385E-3</v>
      </c>
      <c r="D171" s="342">
        <f t="shared" si="2"/>
        <v>5.8886857967356196E-2</v>
      </c>
      <c r="E171" s="356">
        <v>6.8868579673562009E-3</v>
      </c>
      <c r="F171" s="356">
        <v>0.55000000000000004</v>
      </c>
      <c r="G171" s="1" t="s">
        <v>365</v>
      </c>
    </row>
    <row r="172" spans="1:7" ht="16">
      <c r="A172" s="44" t="s">
        <v>348</v>
      </c>
      <c r="B172" s="50" t="s">
        <v>689</v>
      </c>
      <c r="C172" s="354">
        <v>5.5987260310332385E-3</v>
      </c>
      <c r="D172" s="342">
        <f t="shared" si="2"/>
        <v>5.8886857967356196E-2</v>
      </c>
      <c r="E172" s="356">
        <v>6.8868579673562009E-3</v>
      </c>
      <c r="F172" s="356">
        <v>0.19</v>
      </c>
      <c r="G172" s="1" t="s">
        <v>358</v>
      </c>
    </row>
    <row r="173" spans="1:7" ht="16">
      <c r="A173" s="44" t="s">
        <v>349</v>
      </c>
      <c r="B173" s="50" t="s">
        <v>695</v>
      </c>
      <c r="C173" s="354">
        <v>0</v>
      </c>
      <c r="D173" s="342">
        <f>B1</f>
        <v>5.1999999999999998E-2</v>
      </c>
      <c r="E173" s="356">
        <v>0</v>
      </c>
      <c r="F173" s="356">
        <v>0.25</v>
      </c>
      <c r="G173" s="1" t="s">
        <v>367</v>
      </c>
    </row>
    <row r="174" spans="1:7" ht="16">
      <c r="A174" s="44" t="s">
        <v>350</v>
      </c>
      <c r="B174" s="50" t="s">
        <v>692</v>
      </c>
      <c r="C174" s="354">
        <v>2.147874895541842E-2</v>
      </c>
      <c r="D174" s="342">
        <f t="shared" ref="D174:D179" si="3">$D$173+E174</f>
        <v>7.8420491474766513E-2</v>
      </c>
      <c r="E174" s="356">
        <v>2.6420491474766512E-2</v>
      </c>
      <c r="F174" s="356">
        <v>0.25</v>
      </c>
      <c r="G174" s="1" t="s">
        <v>361</v>
      </c>
    </row>
    <row r="175" spans="1:7" ht="16">
      <c r="A175" s="44" t="s">
        <v>351</v>
      </c>
      <c r="B175" s="50" t="s">
        <v>752</v>
      </c>
      <c r="C175" s="354">
        <v>0.18</v>
      </c>
      <c r="D175" s="342">
        <f t="shared" si="3"/>
        <v>0.27341366218902891</v>
      </c>
      <c r="E175" s="356">
        <v>0.22141366218902891</v>
      </c>
      <c r="F175" s="356">
        <v>0.34</v>
      </c>
      <c r="G175" s="1" t="s">
        <v>361</v>
      </c>
    </row>
    <row r="176" spans="1:7" ht="16">
      <c r="A176" s="44" t="s">
        <v>352</v>
      </c>
      <c r="B176" s="50" t="s">
        <v>699</v>
      </c>
      <c r="C176" s="354">
        <v>4.0616212479677498E-2</v>
      </c>
      <c r="D176" s="342">
        <f t="shared" si="3"/>
        <v>0.10196102416318409</v>
      </c>
      <c r="E176" s="356">
        <v>4.9961024163184084E-2</v>
      </c>
      <c r="F176" s="356">
        <v>0.2</v>
      </c>
      <c r="G176" s="1" t="s">
        <v>434</v>
      </c>
    </row>
    <row r="177" spans="1:7" ht="16">
      <c r="A177" s="355" t="s">
        <v>734</v>
      </c>
      <c r="B177" s="50" t="s">
        <v>100</v>
      </c>
      <c r="C177" s="287">
        <v>0.18</v>
      </c>
      <c r="D177" s="342">
        <f t="shared" si="3"/>
        <v>0.27341366218902891</v>
      </c>
      <c r="E177" s="3">
        <v>0.22141366218902891</v>
      </c>
      <c r="F177" s="287">
        <v>0.2</v>
      </c>
      <c r="G177" s="1" t="s">
        <v>360</v>
      </c>
    </row>
    <row r="178" spans="1:7" ht="16">
      <c r="A178" s="44" t="s">
        <v>353</v>
      </c>
      <c r="B178" s="50" t="s">
        <v>701</v>
      </c>
      <c r="C178" s="354">
        <v>8.4591660577974931E-2</v>
      </c>
      <c r="D178" s="342">
        <f t="shared" si="3"/>
        <v>0.15605416310678188</v>
      </c>
      <c r="E178" s="356">
        <v>0.10405416310678188</v>
      </c>
      <c r="F178" s="356">
        <v>0.35</v>
      </c>
      <c r="G178" s="1" t="s">
        <v>360</v>
      </c>
    </row>
    <row r="179" spans="1:7" ht="16">
      <c r="A179" s="355" t="s">
        <v>735</v>
      </c>
      <c r="B179" s="50" t="s">
        <v>100</v>
      </c>
      <c r="C179" s="287">
        <v>0.10159142870856677</v>
      </c>
      <c r="D179" s="342">
        <f t="shared" si="3"/>
        <v>0.17696516820766345</v>
      </c>
      <c r="E179" s="3">
        <v>0.12496516820766344</v>
      </c>
      <c r="F179" s="287">
        <v>0.25</v>
      </c>
      <c r="G179" s="1" t="s">
        <v>360</v>
      </c>
    </row>
    <row r="193" spans="1:5">
      <c r="A193" s="253"/>
      <c r="B193" s="343" t="s">
        <v>381</v>
      </c>
      <c r="C193" s="343" t="s">
        <v>736</v>
      </c>
      <c r="D193" s="343" t="s">
        <v>142</v>
      </c>
      <c r="E193" s="351" t="s">
        <v>744</v>
      </c>
    </row>
    <row r="194" spans="1:5">
      <c r="A194" s="1" t="s">
        <v>737</v>
      </c>
      <c r="B194" s="3">
        <f>$B$202+E194</f>
        <v>8.751165690381954E-2</v>
      </c>
      <c r="C194" s="3">
        <v>2.694716799623581E-2</v>
      </c>
      <c r="D194" s="3">
        <v>0.29246787754291986</v>
      </c>
      <c r="E194" s="3">
        <v>3.551165690381955E-2</v>
      </c>
    </row>
    <row r="195" spans="1:5">
      <c r="A195" s="1" t="s">
        <v>738</v>
      </c>
      <c r="B195" s="3">
        <f t="shared" ref="B195:B201" si="4">$B$202+E195</f>
        <v>5.2023552295498522E-2</v>
      </c>
      <c r="C195" s="3">
        <v>1.8965754240544199E-5</v>
      </c>
      <c r="D195" s="3">
        <v>0.2804198999549754</v>
      </c>
      <c r="E195" s="3">
        <v>2.3552295498524556E-5</v>
      </c>
    </row>
    <row r="196" spans="1:5">
      <c r="A196" s="1" t="s">
        <v>739</v>
      </c>
      <c r="B196" s="3">
        <f t="shared" si="4"/>
        <v>9.9761014464051528E-2</v>
      </c>
      <c r="C196" s="3">
        <v>2.0003293959688404E-2</v>
      </c>
      <c r="D196" s="3">
        <v>0.27150000000000002</v>
      </c>
      <c r="E196" s="3">
        <v>4.7761014464051524E-2</v>
      </c>
    </row>
    <row r="197" spans="1:5">
      <c r="A197" s="1" t="s">
        <v>301</v>
      </c>
      <c r="B197" s="3">
        <f t="shared" si="4"/>
        <v>6.1766816753705149E-2</v>
      </c>
      <c r="C197" s="3">
        <v>7.2151867346079935E-3</v>
      </c>
      <c r="D197" s="3">
        <v>0.30859999999999999</v>
      </c>
      <c r="E197" s="3">
        <v>9.7668167537051515E-3</v>
      </c>
    </row>
    <row r="198" spans="1:5">
      <c r="A198" s="1" t="s">
        <v>740</v>
      </c>
      <c r="B198" s="3">
        <f t="shared" si="4"/>
        <v>5.1999999999999998E-2</v>
      </c>
      <c r="C198" s="3">
        <v>0</v>
      </c>
      <c r="D198" s="3">
        <v>0.25</v>
      </c>
      <c r="E198" s="3">
        <v>0</v>
      </c>
    </row>
    <row r="199" spans="1:5">
      <c r="A199" s="1" t="s">
        <v>741</v>
      </c>
      <c r="B199" s="3">
        <f t="shared" si="4"/>
        <v>6.3499442653654425E-2</v>
      </c>
      <c r="C199" s="3">
        <v>8.2343942576401426E-3</v>
      </c>
      <c r="D199" s="3">
        <v>0.22294096728054036</v>
      </c>
      <c r="E199" s="3">
        <v>1.1499442653654421E-2</v>
      </c>
    </row>
    <row r="200" spans="1:5">
      <c r="A200" s="1" t="s">
        <v>742</v>
      </c>
      <c r="B200" s="3">
        <f t="shared" si="4"/>
        <v>7.7709166095167509E-2</v>
      </c>
      <c r="C200" s="3">
        <v>9.2733400523157868E-3</v>
      </c>
      <c r="D200" s="3">
        <v>0.26788870471142334</v>
      </c>
      <c r="E200" s="3">
        <v>2.5709166095167504E-2</v>
      </c>
    </row>
    <row r="201" spans="1:5">
      <c r="A201" s="1" t="s">
        <v>434</v>
      </c>
      <c r="B201" s="3">
        <f t="shared" si="4"/>
        <v>6.6746172674804469E-2</v>
      </c>
      <c r="C201" s="3">
        <v>7.8425317716042334E-3</v>
      </c>
      <c r="D201" s="3">
        <v>0.26650000000000001</v>
      </c>
      <c r="E201" s="3">
        <v>1.4746172674804476E-2</v>
      </c>
    </row>
    <row r="202" spans="1:5">
      <c r="A202" s="1" t="s">
        <v>367</v>
      </c>
      <c r="B202" s="350">
        <f>B1</f>
        <v>5.1999999999999998E-2</v>
      </c>
      <c r="C202" s="3">
        <v>0</v>
      </c>
      <c r="D202" s="3">
        <v>0.25</v>
      </c>
      <c r="E202" s="3">
        <v>0</v>
      </c>
    </row>
    <row r="204" spans="1:5">
      <c r="A204" s="1" t="s">
        <v>497</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214</v>
      </c>
    </row>
    <row r="2" spans="1:10" ht="19">
      <c r="A2" s="6" t="s">
        <v>215</v>
      </c>
    </row>
    <row r="3" spans="1:10" s="130" customFormat="1" ht="17" thickBot="1">
      <c r="A3" s="129" t="s">
        <v>216</v>
      </c>
    </row>
    <row r="4" spans="1:10" s="131" customFormat="1" ht="15" thickBot="1">
      <c r="A4" s="8" t="s">
        <v>217</v>
      </c>
      <c r="B4" s="8"/>
      <c r="C4" s="237">
        <f>'Cost of capital worksheet'!B24</f>
        <v>1</v>
      </c>
      <c r="D4" s="8"/>
      <c r="E4" s="8"/>
      <c r="F4" s="8"/>
      <c r="G4" s="8"/>
      <c r="H4" s="8"/>
      <c r="I4" s="8"/>
      <c r="J4" s="8"/>
    </row>
    <row r="5" spans="1:10" s="131" customFormat="1" ht="15" thickBot="1">
      <c r="A5" s="8" t="s">
        <v>218</v>
      </c>
      <c r="B5" s="8"/>
      <c r="C5" s="8"/>
      <c r="D5" s="8"/>
      <c r="E5" s="114"/>
      <c r="F5" s="121">
        <f>IF('Input sheet'!B14="Yes",'Input sheet'!B9+'Operating lease converter'!F32,'Input sheet'!B9)</f>
        <v>3450</v>
      </c>
      <c r="G5" s="8" t="s">
        <v>219</v>
      </c>
      <c r="H5" s="8"/>
      <c r="I5" s="8"/>
      <c r="J5" s="8"/>
    </row>
    <row r="6" spans="1:10" s="131" customFormat="1" ht="15" thickBot="1">
      <c r="A6" s="8" t="s">
        <v>220</v>
      </c>
      <c r="B6" s="8"/>
      <c r="C6" s="8"/>
      <c r="D6" s="8"/>
      <c r="E6" s="8"/>
      <c r="F6" s="206">
        <f>IF('Input sheet'!B14="Yes",'Cost of capital worksheet'!B19+'Operating lease converter'!C28*'Operating lease converter'!C15,'Cost of capital worksheet'!B19)</f>
        <v>233</v>
      </c>
      <c r="G6" s="8" t="s">
        <v>221</v>
      </c>
      <c r="H6" s="8"/>
      <c r="I6" s="8"/>
      <c r="J6" s="8"/>
    </row>
    <row r="7" spans="1:10" s="131" customFormat="1" ht="15" thickBot="1">
      <c r="A7" s="8" t="s">
        <v>236</v>
      </c>
      <c r="B7" s="8"/>
      <c r="C7" s="8"/>
      <c r="D7" s="8"/>
      <c r="E7" s="8"/>
      <c r="F7" s="139">
        <f>'Input sheet'!B29</f>
        <v>1.67E-2</v>
      </c>
      <c r="G7" s="8"/>
      <c r="H7" s="8"/>
      <c r="I7" s="8"/>
      <c r="J7" s="8"/>
    </row>
    <row r="8" spans="1:10" s="131" customFormat="1" ht="15" thickBot="1">
      <c r="A8" s="17" t="s">
        <v>124</v>
      </c>
      <c r="B8" s="8"/>
      <c r="C8" s="8"/>
      <c r="D8" s="8"/>
      <c r="E8" s="8"/>
      <c r="F8" s="114"/>
      <c r="G8" s="8"/>
      <c r="H8" s="8"/>
      <c r="I8" s="8"/>
      <c r="J8" s="8"/>
    </row>
    <row r="9" spans="1:10" s="131" customFormat="1" ht="15" thickBot="1">
      <c r="A9" s="8" t="s">
        <v>222</v>
      </c>
      <c r="B9" s="8"/>
      <c r="C9" s="8"/>
      <c r="D9" s="140">
        <f>IF(F6=0,1000000,IF(F5&lt;0,-100000,F5/F6))</f>
        <v>14.806866952789699</v>
      </c>
      <c r="E9" s="8"/>
      <c r="F9" s="114"/>
      <c r="G9" s="8"/>
      <c r="H9" s="8"/>
      <c r="I9" s="8"/>
      <c r="J9" s="8"/>
    </row>
    <row r="10" spans="1:10" s="131" customFormat="1" ht="15" thickBot="1">
      <c r="A10" s="8" t="s">
        <v>223</v>
      </c>
      <c r="D10" s="141" t="str">
        <f>IF(C4=1,VLOOKUP(D9,A19:D33,3),(IF(C4=2,VLOOKUP(D9,A38:D52,3),VLOOKUP(D9,F19:I33,3))))</f>
        <v>Aaa/AAA</v>
      </c>
      <c r="F10" s="16" t="s">
        <v>224</v>
      </c>
    </row>
    <row r="11" spans="1:10" s="131" customFormat="1" ht="15" thickBot="1">
      <c r="A11" s="8" t="s">
        <v>475</v>
      </c>
      <c r="D11" s="142">
        <f>IF(C4=1,VLOOKUP(D9,A19:D33,4),(IF(C4=2,VLOOKUP(D9,A38:D52,4),VLOOKUP(D9,F19:I33,4))))</f>
        <v>7.4999999999999997E-3</v>
      </c>
      <c r="F11" s="16" t="s">
        <v>225</v>
      </c>
    </row>
    <row r="12" spans="1:10" s="131" customFormat="1" ht="15" thickBot="1">
      <c r="A12" s="8" t="s">
        <v>476</v>
      </c>
      <c r="D12" s="142">
        <f>VLOOKUP('Input sheet'!B5,'Country equity risk premiums'!A5:C179,3)</f>
        <v>0</v>
      </c>
      <c r="F12" s="16"/>
    </row>
    <row r="13" spans="1:10" s="8" customFormat="1" ht="15" thickBot="1">
      <c r="A13" s="8" t="s">
        <v>226</v>
      </c>
      <c r="D13" s="143">
        <f>F7+D11+D12</f>
        <v>2.4199999999999999E-2</v>
      </c>
    </row>
    <row r="14" spans="1:10" s="8" customFormat="1" ht="14">
      <c r="D14" s="133"/>
    </row>
    <row r="15" spans="1:10" s="15" customFormat="1" ht="14">
      <c r="A15" s="15" t="s">
        <v>227</v>
      </c>
      <c r="D15" s="134"/>
    </row>
    <row r="16" spans="1:10" s="131" customFormat="1" ht="14">
      <c r="A16" s="17" t="s">
        <v>228</v>
      </c>
      <c r="F16"/>
      <c r="G16"/>
      <c r="H16"/>
      <c r="I16"/>
    </row>
    <row r="17" spans="1:10" s="131" customFormat="1" ht="14">
      <c r="A17" s="135" t="s">
        <v>229</v>
      </c>
      <c r="B17" s="135"/>
      <c r="C17" s="136"/>
      <c r="D17" s="136"/>
      <c r="F17"/>
      <c r="G17"/>
      <c r="H17"/>
      <c r="I17"/>
      <c r="J17" s="8"/>
    </row>
    <row r="18" spans="1:10" s="131" customFormat="1" ht="14">
      <c r="A18" s="119" t="s">
        <v>230</v>
      </c>
      <c r="B18" s="119" t="s">
        <v>231</v>
      </c>
      <c r="C18" s="119" t="s">
        <v>232</v>
      </c>
      <c r="D18" s="119" t="s">
        <v>233</v>
      </c>
      <c r="F18"/>
      <c r="G18"/>
      <c r="H18"/>
      <c r="I18"/>
    </row>
    <row r="19" spans="1:10" s="131" customFormat="1" ht="14">
      <c r="A19" s="30">
        <v>-100000</v>
      </c>
      <c r="B19" s="30">
        <v>0.19999900000000001</v>
      </c>
      <c r="C19" s="235" t="s">
        <v>459</v>
      </c>
      <c r="D19" s="323">
        <v>0.19384615384615386</v>
      </c>
      <c r="F19"/>
      <c r="G19"/>
      <c r="H19"/>
      <c r="I19"/>
    </row>
    <row r="20" spans="1:10" s="131" customFormat="1" ht="14">
      <c r="A20" s="30">
        <v>0.2</v>
      </c>
      <c r="B20" s="30">
        <v>0.64999899999999999</v>
      </c>
      <c r="C20" s="235" t="s">
        <v>460</v>
      </c>
      <c r="D20" s="323">
        <v>0.14538461538461536</v>
      </c>
      <c r="F20"/>
      <c r="G20"/>
      <c r="H20"/>
      <c r="I20"/>
    </row>
    <row r="21" spans="1:10" s="131" customFormat="1" ht="14">
      <c r="A21" s="30">
        <v>0.65</v>
      </c>
      <c r="B21" s="30">
        <v>0.79999900000000002</v>
      </c>
      <c r="C21" s="235" t="s">
        <v>461</v>
      </c>
      <c r="D21" s="323">
        <v>0.11076923076923077</v>
      </c>
      <c r="F21"/>
      <c r="G21"/>
      <c r="H21"/>
      <c r="I21"/>
    </row>
    <row r="22" spans="1:10" s="131" customFormat="1" ht="14">
      <c r="A22" s="30">
        <v>0.8</v>
      </c>
      <c r="B22" s="30">
        <v>1.2499990000000001</v>
      </c>
      <c r="C22" s="235" t="s">
        <v>462</v>
      </c>
      <c r="D22" s="323">
        <v>0.09</v>
      </c>
      <c r="F22"/>
      <c r="G22"/>
      <c r="H22"/>
      <c r="I22"/>
    </row>
    <row r="23" spans="1:10" s="131" customFormat="1" ht="14">
      <c r="A23" s="30">
        <v>1.25</v>
      </c>
      <c r="B23" s="30">
        <v>1.4999990000000001</v>
      </c>
      <c r="C23" s="235" t="s">
        <v>463</v>
      </c>
      <c r="D23" s="323">
        <v>6.6000000000000003E-2</v>
      </c>
      <c r="F23"/>
      <c r="G23"/>
      <c r="H23"/>
      <c r="I23"/>
    </row>
    <row r="24" spans="1:10" s="131" customFormat="1" ht="14">
      <c r="A24" s="30">
        <v>1.5</v>
      </c>
      <c r="B24" s="30">
        <v>1.7499990000000001</v>
      </c>
      <c r="C24" s="235" t="s">
        <v>464</v>
      </c>
      <c r="D24" s="323">
        <v>5.3999999999999999E-2</v>
      </c>
      <c r="F24"/>
      <c r="G24"/>
      <c r="H24"/>
      <c r="I24"/>
    </row>
    <row r="25" spans="1:10" s="131" customFormat="1" ht="14">
      <c r="A25" s="30">
        <v>1.75</v>
      </c>
      <c r="B25" s="30">
        <v>1.9999990000000001</v>
      </c>
      <c r="C25" s="235" t="s">
        <v>465</v>
      </c>
      <c r="D25" s="323">
        <v>4.4999999999999998E-2</v>
      </c>
      <c r="F25"/>
      <c r="G25"/>
      <c r="H25"/>
      <c r="I25"/>
    </row>
    <row r="26" spans="1:10" s="131" customFormat="1" ht="14">
      <c r="A26" s="30">
        <v>2</v>
      </c>
      <c r="B26" s="30">
        <v>2.2499999000000002</v>
      </c>
      <c r="C26" s="235" t="s">
        <v>466</v>
      </c>
      <c r="D26" s="323">
        <v>3.5999999999999997E-2</v>
      </c>
      <c r="F26"/>
      <c r="G26"/>
      <c r="H26"/>
      <c r="I26"/>
    </row>
    <row r="27" spans="1:10" s="131" customFormat="1" ht="14">
      <c r="A27" s="30">
        <v>2.25</v>
      </c>
      <c r="B27" s="30">
        <v>2.4999899999999999</v>
      </c>
      <c r="C27" s="235" t="s">
        <v>467</v>
      </c>
      <c r="D27" s="323">
        <v>0.03</v>
      </c>
      <c r="F27"/>
      <c r="G27"/>
      <c r="H27"/>
      <c r="I27"/>
    </row>
    <row r="28" spans="1:10" s="131" customFormat="1" ht="14">
      <c r="A28" s="30">
        <v>2.5</v>
      </c>
      <c r="B28" s="30">
        <v>2.9999989999999999</v>
      </c>
      <c r="C28" s="235" t="s">
        <v>468</v>
      </c>
      <c r="D28" s="323">
        <v>0.02</v>
      </c>
      <c r="F28"/>
      <c r="G28"/>
      <c r="H28"/>
      <c r="I28"/>
    </row>
    <row r="29" spans="1:10" s="131" customFormat="1" ht="14">
      <c r="A29" s="30">
        <v>3</v>
      </c>
      <c r="B29" s="30">
        <v>4.2499989999999999</v>
      </c>
      <c r="C29" s="235" t="s">
        <v>469</v>
      </c>
      <c r="D29" s="323">
        <v>1.5625E-2</v>
      </c>
      <c r="F29"/>
      <c r="G29"/>
      <c r="H29"/>
      <c r="I29"/>
    </row>
    <row r="30" spans="1:10" s="131" customFormat="1" ht="14">
      <c r="A30" s="30">
        <v>4.25</v>
      </c>
      <c r="B30" s="30">
        <v>5.4999989999999999</v>
      </c>
      <c r="C30" s="235" t="s">
        <v>470</v>
      </c>
      <c r="D30" s="323">
        <v>1.3749999999999998E-2</v>
      </c>
      <c r="F30"/>
      <c r="G30"/>
      <c r="H30"/>
      <c r="I30"/>
    </row>
    <row r="31" spans="1:10" s="131" customFormat="1" ht="14">
      <c r="A31" s="30">
        <v>5.5</v>
      </c>
      <c r="B31" s="30">
        <v>6.4999989999999999</v>
      </c>
      <c r="C31" s="235" t="s">
        <v>471</v>
      </c>
      <c r="D31" s="323">
        <v>1.2500000000000001E-2</v>
      </c>
      <c r="F31"/>
      <c r="G31"/>
      <c r="H31"/>
      <c r="I31"/>
    </row>
    <row r="32" spans="1:10" s="131" customFormat="1" ht="14">
      <c r="A32" s="30">
        <v>6.5</v>
      </c>
      <c r="B32" s="30">
        <v>8.4999990000000007</v>
      </c>
      <c r="C32" s="235" t="s">
        <v>472</v>
      </c>
      <c r="D32" s="323">
        <v>0.01</v>
      </c>
      <c r="F32"/>
      <c r="G32"/>
      <c r="H32"/>
      <c r="I32"/>
    </row>
    <row r="33" spans="1:9" s="131" customFormat="1" ht="14">
      <c r="A33" s="137">
        <v>8.5</v>
      </c>
      <c r="B33" s="30">
        <v>100000</v>
      </c>
      <c r="C33" s="235" t="s">
        <v>473</v>
      </c>
      <c r="D33" s="254">
        <v>7.4999999999999997E-3</v>
      </c>
      <c r="F33"/>
      <c r="G33"/>
      <c r="H33"/>
      <c r="I33"/>
    </row>
    <row r="34" spans="1:9" s="131" customFormat="1" ht="14"/>
    <row r="35" spans="1:9" s="131" customFormat="1" ht="14">
      <c r="A35" s="17" t="s">
        <v>235</v>
      </c>
    </row>
    <row r="36" spans="1:9" s="131" customFormat="1" ht="14">
      <c r="A36" s="135" t="s">
        <v>229</v>
      </c>
      <c r="B36" s="138"/>
      <c r="C36" s="30"/>
      <c r="D36" s="30"/>
    </row>
    <row r="37" spans="1:9" s="131" customFormat="1" ht="14">
      <c r="A37" s="30" t="s">
        <v>234</v>
      </c>
      <c r="B37" s="30" t="s">
        <v>231</v>
      </c>
      <c r="C37" s="30" t="s">
        <v>232</v>
      </c>
      <c r="D37" s="30" t="s">
        <v>233</v>
      </c>
    </row>
    <row r="38" spans="1:9" s="131" customFormat="1" ht="14">
      <c r="A38" s="30">
        <v>-100000</v>
      </c>
      <c r="B38" s="30">
        <v>0.49999900000000003</v>
      </c>
      <c r="C38" s="235" t="s">
        <v>459</v>
      </c>
      <c r="D38" s="323">
        <f>D19</f>
        <v>0.19384615384615386</v>
      </c>
      <c r="G38" t="s">
        <v>232</v>
      </c>
      <c r="H38" t="s">
        <v>233</v>
      </c>
    </row>
    <row r="39" spans="1:9" s="131" customFormat="1" ht="14">
      <c r="A39" s="30">
        <v>0.5</v>
      </c>
      <c r="B39" s="30">
        <v>0.79999900000000002</v>
      </c>
      <c r="C39" s="235" t="s">
        <v>460</v>
      </c>
      <c r="D39" s="323">
        <f t="shared" ref="D39:D52" si="0">D20</f>
        <v>0.14538461538461536</v>
      </c>
      <c r="G39" t="s">
        <v>471</v>
      </c>
      <c r="H39" s="323">
        <v>1.2500000000000001E-2</v>
      </c>
    </row>
    <row r="40" spans="1:9" s="131" customFormat="1" ht="14">
      <c r="A40" s="30">
        <v>0.8</v>
      </c>
      <c r="B40" s="30">
        <v>1.2499990000000001</v>
      </c>
      <c r="C40" s="235" t="s">
        <v>461</v>
      </c>
      <c r="D40" s="323">
        <f t="shared" si="0"/>
        <v>0.11076923076923077</v>
      </c>
      <c r="G40" t="s">
        <v>470</v>
      </c>
      <c r="H40" s="323">
        <v>1.3749999999999998E-2</v>
      </c>
    </row>
    <row r="41" spans="1:9" s="131" customFormat="1" ht="14">
      <c r="A41" s="30">
        <v>1.25</v>
      </c>
      <c r="B41" s="30">
        <v>1.4999990000000001</v>
      </c>
      <c r="C41" s="235" t="s">
        <v>462</v>
      </c>
      <c r="D41" s="323">
        <f t="shared" si="0"/>
        <v>0.09</v>
      </c>
      <c r="G41" t="s">
        <v>469</v>
      </c>
      <c r="H41" s="323">
        <v>1.5625E-2</v>
      </c>
    </row>
    <row r="42" spans="1:9" s="131" customFormat="1" ht="14">
      <c r="A42" s="30">
        <v>1.5</v>
      </c>
      <c r="B42" s="30">
        <v>1.9999990000000001</v>
      </c>
      <c r="C42" s="235" t="s">
        <v>463</v>
      </c>
      <c r="D42" s="323">
        <f t="shared" si="0"/>
        <v>6.6000000000000003E-2</v>
      </c>
      <c r="G42" t="s">
        <v>472</v>
      </c>
      <c r="H42" s="323">
        <v>0.01</v>
      </c>
    </row>
    <row r="43" spans="1:9" s="131" customFormat="1" ht="14">
      <c r="A43" s="30">
        <v>2</v>
      </c>
      <c r="B43" s="30">
        <v>2.4999989999999999</v>
      </c>
      <c r="C43" s="235" t="s">
        <v>464</v>
      </c>
      <c r="D43" s="323">
        <f t="shared" si="0"/>
        <v>5.3999999999999999E-2</v>
      </c>
      <c r="G43" t="s">
        <v>473</v>
      </c>
      <c r="H43" s="254">
        <v>7.4999999999999997E-3</v>
      </c>
    </row>
    <row r="44" spans="1:9" s="131" customFormat="1" ht="14">
      <c r="A44" s="30">
        <v>2.5</v>
      </c>
      <c r="B44" s="30">
        <v>2.9999989999999999</v>
      </c>
      <c r="C44" s="235" t="s">
        <v>465</v>
      </c>
      <c r="D44" s="323">
        <f t="shared" si="0"/>
        <v>4.4999999999999998E-2</v>
      </c>
      <c r="G44" t="s">
        <v>465</v>
      </c>
      <c r="H44" s="323">
        <v>4.4999999999999998E-2</v>
      </c>
    </row>
    <row r="45" spans="1:9" s="131" customFormat="1" ht="14">
      <c r="A45" s="30">
        <v>3</v>
      </c>
      <c r="B45" s="30">
        <v>3.4999989999999999</v>
      </c>
      <c r="C45" s="235" t="s">
        <v>466</v>
      </c>
      <c r="D45" s="323">
        <f t="shared" si="0"/>
        <v>3.5999999999999997E-2</v>
      </c>
      <c r="G45" t="s">
        <v>464</v>
      </c>
      <c r="H45" s="323">
        <v>5.3999999999999999E-2</v>
      </c>
    </row>
    <row r="46" spans="1:9" s="131" customFormat="1" ht="14">
      <c r="A46" s="30">
        <v>3.5</v>
      </c>
      <c r="B46" s="30">
        <v>3.9999999000000002</v>
      </c>
      <c r="C46" s="235" t="s">
        <v>467</v>
      </c>
      <c r="D46" s="323">
        <f t="shared" si="0"/>
        <v>0.03</v>
      </c>
      <c r="G46" t="s">
        <v>463</v>
      </c>
      <c r="H46" s="323">
        <v>6.6000000000000003E-2</v>
      </c>
    </row>
    <row r="47" spans="1:9" s="131" customFormat="1" ht="14">
      <c r="A47" s="30">
        <v>4</v>
      </c>
      <c r="B47" s="30">
        <v>4.4999989999999999</v>
      </c>
      <c r="C47" s="235" t="s">
        <v>468</v>
      </c>
      <c r="D47" s="323">
        <f t="shared" si="0"/>
        <v>0.02</v>
      </c>
      <c r="G47" t="s">
        <v>467</v>
      </c>
      <c r="H47" s="323">
        <v>0.03</v>
      </c>
    </row>
    <row r="48" spans="1:9" s="131" customFormat="1" ht="14">
      <c r="A48" s="30">
        <v>4.5</v>
      </c>
      <c r="B48" s="30">
        <v>5.9999989999999999</v>
      </c>
      <c r="C48" s="235" t="s">
        <v>469</v>
      </c>
      <c r="D48" s="323">
        <f t="shared" si="0"/>
        <v>1.5625E-2</v>
      </c>
      <c r="G48" t="s">
        <v>466</v>
      </c>
      <c r="H48" s="323">
        <v>3.5999999999999997E-2</v>
      </c>
    </row>
    <row r="49" spans="1:10" s="131" customFormat="1" ht="14">
      <c r="A49" s="30">
        <v>6</v>
      </c>
      <c r="B49" s="30">
        <v>7.4999989999999999</v>
      </c>
      <c r="C49" s="235" t="s">
        <v>470</v>
      </c>
      <c r="D49" s="323">
        <f t="shared" si="0"/>
        <v>1.3749999999999998E-2</v>
      </c>
      <c r="G49" t="s">
        <v>468</v>
      </c>
      <c r="H49" s="323">
        <v>0.02</v>
      </c>
    </row>
    <row r="50" spans="1:10" s="131" customFormat="1" ht="14">
      <c r="A50" s="30">
        <v>7.5</v>
      </c>
      <c r="B50" s="30">
        <v>9.4999990000000007</v>
      </c>
      <c r="C50" s="235" t="s">
        <v>471</v>
      </c>
      <c r="D50" s="323">
        <f t="shared" si="0"/>
        <v>1.2500000000000001E-2</v>
      </c>
      <c r="G50" t="s">
        <v>462</v>
      </c>
      <c r="H50" s="323">
        <v>0.09</v>
      </c>
    </row>
    <row r="51" spans="1:10" ht="14">
      <c r="A51" s="30">
        <v>9.5</v>
      </c>
      <c r="B51" s="30">
        <v>12.499999000000001</v>
      </c>
      <c r="C51" s="235" t="s">
        <v>472</v>
      </c>
      <c r="D51" s="323">
        <f t="shared" si="0"/>
        <v>0.01</v>
      </c>
      <c r="F51" s="131"/>
      <c r="G51" t="s">
        <v>461</v>
      </c>
      <c r="H51" s="323">
        <v>0.11076923076923077</v>
      </c>
      <c r="I51" s="131"/>
      <c r="J51" s="131"/>
    </row>
    <row r="52" spans="1:10" ht="14">
      <c r="A52" s="30">
        <v>12.5</v>
      </c>
      <c r="B52" s="30">
        <v>100000</v>
      </c>
      <c r="C52" s="235" t="s">
        <v>473</v>
      </c>
      <c r="D52" s="323">
        <f t="shared" si="0"/>
        <v>7.4999999999999997E-3</v>
      </c>
      <c r="G52" t="s">
        <v>460</v>
      </c>
      <c r="H52" s="323">
        <v>0.14538461538461536</v>
      </c>
    </row>
    <row r="53" spans="1:10" ht="14">
      <c r="G53" t="s">
        <v>459</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c r="A2" t="s">
        <v>99</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514</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515</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516</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517</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518</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519</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100</v>
      </c>
      <c r="Q8" s="344" t="s">
        <v>100</v>
      </c>
      <c r="R8" s="344">
        <v>1.0150250933656284</v>
      </c>
      <c r="S8" s="344">
        <v>12.689864379393407</v>
      </c>
      <c r="T8" s="324" t="s">
        <v>100</v>
      </c>
      <c r="U8" s="324">
        <v>9.858106928908086E-3</v>
      </c>
      <c r="V8" s="324">
        <v>1.071180565790362E-2</v>
      </c>
      <c r="W8" s="324" t="s">
        <v>100</v>
      </c>
      <c r="X8" s="324">
        <v>8.4181173515976773E-2</v>
      </c>
      <c r="Y8" s="324">
        <v>0.34077244526348205</v>
      </c>
      <c r="Z8" s="324">
        <v>0.34077244526348205</v>
      </c>
    </row>
    <row r="9" spans="1:26">
      <c r="A9" t="s">
        <v>520</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100</v>
      </c>
      <c r="Q9" s="344" t="s">
        <v>100</v>
      </c>
      <c r="R9" s="344">
        <v>1.1742774403077287</v>
      </c>
      <c r="S9" s="344">
        <v>25.296598787188334</v>
      </c>
      <c r="T9" s="324" t="s">
        <v>100</v>
      </c>
      <c r="U9" s="324">
        <v>3.9918256169163141E-2</v>
      </c>
      <c r="V9" s="324">
        <v>3.9370088276600011E-2</v>
      </c>
      <c r="W9" s="324" t="s">
        <v>100</v>
      </c>
      <c r="X9" s="324">
        <v>0.11478557879942937</v>
      </c>
      <c r="Y9" s="324">
        <v>0.27207460072044903</v>
      </c>
      <c r="Z9" s="324">
        <v>0.27207460072044909</v>
      </c>
    </row>
    <row r="10" spans="1:26">
      <c r="A10" t="s">
        <v>521</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522</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523</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524</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100</v>
      </c>
      <c r="Q13" s="344" t="s">
        <v>100</v>
      </c>
      <c r="R13" s="344">
        <v>1.1448869546388658</v>
      </c>
      <c r="S13" s="344">
        <v>28.787296048701453</v>
      </c>
      <c r="T13" s="324" t="s">
        <v>100</v>
      </c>
      <c r="U13" s="324">
        <v>6.542991420733478E-2</v>
      </c>
      <c r="V13" s="324">
        <v>5.8975237727260724E-2</v>
      </c>
      <c r="W13" s="324">
        <v>125.58911234891147</v>
      </c>
      <c r="X13" s="324">
        <v>0.11459834397953578</v>
      </c>
      <c r="Y13" s="324">
        <v>0.23420902972280616</v>
      </c>
      <c r="Z13" s="324">
        <v>0.23420902972280611</v>
      </c>
    </row>
    <row r="14" spans="1:26">
      <c r="A14" t="s">
        <v>525</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526</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527</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528</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529</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530</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531</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532</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533</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534</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535</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536</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537</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538</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539</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540</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100</v>
      </c>
      <c r="R29" s="344">
        <v>5.3149456401936312</v>
      </c>
      <c r="S29" s="344">
        <v>56.331115201319967</v>
      </c>
      <c r="T29" s="324">
        <v>0.14061419948834528</v>
      </c>
      <c r="U29" s="324">
        <v>2.3378987949746671E-2</v>
      </c>
      <c r="V29" s="324">
        <v>-8.3860962452522274E-3</v>
      </c>
      <c r="W29" s="324" t="s">
        <v>100</v>
      </c>
      <c r="X29" s="324">
        <v>-0.33486945416099384</v>
      </c>
      <c r="Y29" s="324">
        <v>0</v>
      </c>
      <c r="Z29" s="324">
        <v>0</v>
      </c>
    </row>
    <row r="30" spans="1:26">
      <c r="A30" t="s">
        <v>541</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542</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543</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544</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545</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546</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100</v>
      </c>
      <c r="Q35" s="344" t="s">
        <v>100</v>
      </c>
      <c r="R35" s="344">
        <v>1.8612997724182456</v>
      </c>
      <c r="S35" s="344">
        <v>50.785906752958233</v>
      </c>
      <c r="T35" s="324" t="s">
        <v>100</v>
      </c>
      <c r="U35" s="324">
        <v>8.2242750182922902E-2</v>
      </c>
      <c r="V35" s="324">
        <v>9.3091828500416404E-2</v>
      </c>
      <c r="W35" s="324">
        <v>1.053907283448358</v>
      </c>
      <c r="X35" s="324">
        <v>1.2111208793954404E-3</v>
      </c>
      <c r="Y35" s="324">
        <v>0.1974807546408259</v>
      </c>
      <c r="Z35" s="324">
        <v>0.19748075464082593</v>
      </c>
    </row>
    <row r="36" spans="1:26">
      <c r="A36" t="s">
        <v>547</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548</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549</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550</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551</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552</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553</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554</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555</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556</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557</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558</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559</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560</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561</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562</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100</v>
      </c>
      <c r="U51" s="324">
        <v>2.6042077679276288E-2</v>
      </c>
      <c r="V51" s="324">
        <v>5.0874799824262053E-2</v>
      </c>
      <c r="W51" s="324">
        <v>0.34113832322302257</v>
      </c>
      <c r="X51" s="324">
        <v>0.16176669827433787</v>
      </c>
      <c r="Y51" s="324">
        <v>0.33614445853819169</v>
      </c>
      <c r="Z51" s="324">
        <v>0.33614445853819164</v>
      </c>
    </row>
    <row r="52" spans="1:26">
      <c r="A52" t="s">
        <v>563</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564</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565</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566</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567</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568</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569</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570</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571</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572</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573</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661</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574</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575</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576</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577</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578</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579</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580</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100</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581</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582</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583</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584</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585</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586</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587</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588</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589</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590</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591</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592</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593</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594</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595</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596</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597</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598</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599</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600</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601</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602</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603</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604</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605</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754</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755</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s="320" customFormat="1">
      <c r="A2" t="s">
        <v>99</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514</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515</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516</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517</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518</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519</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100</v>
      </c>
      <c r="Q8" s="344" t="s">
        <v>100</v>
      </c>
      <c r="R8" s="344">
        <v>0.95277344047581702</v>
      </c>
      <c r="S8" s="344">
        <v>15.781499818245079</v>
      </c>
      <c r="T8" s="324" t="s">
        <v>100</v>
      </c>
      <c r="U8" s="324">
        <v>4.2604071598196E-2</v>
      </c>
      <c r="V8" s="324">
        <v>4.565914590473056E-2</v>
      </c>
      <c r="W8" s="324">
        <v>33.143682978111748</v>
      </c>
      <c r="X8" s="324">
        <v>0.10114871843255104</v>
      </c>
      <c r="Y8" s="324">
        <v>0.36199018796396948</v>
      </c>
      <c r="Z8" s="324">
        <v>0.36199018796396953</v>
      </c>
    </row>
    <row r="9" spans="1:26" s="320" customFormat="1">
      <c r="A9" t="s">
        <v>520</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100</v>
      </c>
      <c r="Q9" s="344" t="s">
        <v>100</v>
      </c>
      <c r="R9" s="344">
        <v>0.83728785174960507</v>
      </c>
      <c r="S9" s="344">
        <v>21.747276923965863</v>
      </c>
      <c r="T9" s="324" t="s">
        <v>100</v>
      </c>
      <c r="U9" s="324">
        <v>6.4375790381635392E-2</v>
      </c>
      <c r="V9" s="324">
        <v>6.4435952654048598E-2</v>
      </c>
      <c r="W9" s="324" t="s">
        <v>100</v>
      </c>
      <c r="X9" s="324">
        <v>0.13189639024056735</v>
      </c>
      <c r="Y9" s="324">
        <v>0.20360291014074713</v>
      </c>
      <c r="Z9" s="324">
        <v>0.20360291014074716</v>
      </c>
    </row>
    <row r="10" spans="1:26" s="320" customFormat="1">
      <c r="A10" t="s">
        <v>521</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522</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523</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524</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100</v>
      </c>
      <c r="Q13" s="344" t="s">
        <v>100</v>
      </c>
      <c r="R13" s="344">
        <v>1.0787053709497203</v>
      </c>
      <c r="S13" s="344">
        <v>37.820571828695329</v>
      </c>
      <c r="T13" s="324" t="s">
        <v>100</v>
      </c>
      <c r="U13" s="324">
        <v>5.2175809843259521E-2</v>
      </c>
      <c r="V13" s="324">
        <v>6.2758684205140233E-2</v>
      </c>
      <c r="W13" s="324">
        <v>89.085835597458626</v>
      </c>
      <c r="X13" s="324">
        <v>8.2046492655304518E-2</v>
      </c>
      <c r="Y13" s="324">
        <v>0.53478079848749183</v>
      </c>
      <c r="Z13" s="324">
        <v>0.53478079848749183</v>
      </c>
    </row>
    <row r="14" spans="1:26" s="320" customFormat="1">
      <c r="A14" t="s">
        <v>525</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526</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527</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528</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529</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530</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531</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532</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533</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534</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535</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536</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537</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538</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539</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540</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541</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542</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543</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544</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545</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546</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100</v>
      </c>
      <c r="U35" s="324">
        <v>7.1113027024050035E-2</v>
      </c>
      <c r="V35" s="324">
        <v>7.9071639078491004E-2</v>
      </c>
      <c r="W35" s="324">
        <v>1.3319568833004511</v>
      </c>
      <c r="X35" s="324">
        <v>0.15398700180937119</v>
      </c>
      <c r="Y35" s="324">
        <v>0.29373153912074312</v>
      </c>
      <c r="Z35" s="324">
        <v>0.29373153912074312</v>
      </c>
    </row>
    <row r="36" spans="1:26" s="320" customFormat="1">
      <c r="A36" t="s">
        <v>547</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548</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549</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550</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551</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552</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553</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554</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555</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556</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557</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558</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559</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560</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561</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562</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100</v>
      </c>
      <c r="U51" s="324">
        <v>2.1362622386843728E-2</v>
      </c>
      <c r="V51" s="324">
        <v>7.9062075300161558E-2</v>
      </c>
      <c r="W51" s="324">
        <v>0.63490240476310944</v>
      </c>
      <c r="X51" s="324">
        <v>0.12787750672984424</v>
      </c>
      <c r="Y51" s="324">
        <v>0.42712045968383722</v>
      </c>
      <c r="Z51" s="324">
        <v>0.42712045968383716</v>
      </c>
    </row>
    <row r="52" spans="1:26" s="320" customFormat="1">
      <c r="A52" t="s">
        <v>563</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564</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565</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566</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567</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568</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569</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570</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571</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572</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573</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661</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574</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575</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576</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577</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578</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579</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580</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581</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582</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583</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584</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585</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586</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587</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588</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589</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590</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591</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592</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593</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594</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595</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596</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597</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598</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599</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600</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601</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602</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603</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604</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605</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754</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755</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397</v>
      </c>
      <c r="C1" s="161" t="s">
        <v>430</v>
      </c>
      <c r="D1" s="161" t="s">
        <v>431</v>
      </c>
      <c r="E1" s="200" t="s">
        <v>398</v>
      </c>
    </row>
    <row r="2" spans="1:5" ht="13">
      <c r="A2" s="60" t="s">
        <v>11</v>
      </c>
      <c r="B2" s="201">
        <v>265595</v>
      </c>
      <c r="C2" s="201">
        <v>79164</v>
      </c>
      <c r="D2" s="201">
        <v>73435</v>
      </c>
      <c r="E2" s="202">
        <f>B2-C2+D2</f>
        <v>259866</v>
      </c>
    </row>
    <row r="3" spans="1:5" ht="13">
      <c r="A3" s="60" t="s">
        <v>427</v>
      </c>
      <c r="B3" s="201">
        <v>14236</v>
      </c>
      <c r="C3" s="201">
        <v>3407</v>
      </c>
      <c r="D3" s="201">
        <v>3902</v>
      </c>
      <c r="E3" s="202">
        <f>B3-C3+D3</f>
        <v>14731</v>
      </c>
    </row>
    <row r="4" spans="1:5" ht="13">
      <c r="A4" s="60" t="s">
        <v>29</v>
      </c>
      <c r="B4" s="201">
        <v>70898</v>
      </c>
      <c r="C4" s="201">
        <v>26274</v>
      </c>
      <c r="D4" s="201">
        <v>23346</v>
      </c>
      <c r="E4" s="202">
        <f>B4-C4+D4</f>
        <v>67970</v>
      </c>
    </row>
    <row r="5" spans="1:5" ht="13">
      <c r="A5" s="60" t="s">
        <v>442</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246</v>
      </c>
      <c r="B8" s="201"/>
      <c r="C8" s="201"/>
      <c r="D8" s="201"/>
      <c r="E8" s="202"/>
    </row>
    <row r="9" spans="1:5" ht="13">
      <c r="A9" s="60" t="s">
        <v>247</v>
      </c>
      <c r="B9" s="201">
        <f>25913+40388+170799</f>
        <v>237100</v>
      </c>
      <c r="C9" s="201"/>
      <c r="D9" s="201">
        <f>44771+41656+158608</f>
        <v>245035</v>
      </c>
      <c r="E9" s="202"/>
    </row>
    <row r="10" spans="1:5" ht="13">
      <c r="A10" s="60" t="s">
        <v>389</v>
      </c>
      <c r="B10" s="201">
        <v>0</v>
      </c>
      <c r="C10" s="201"/>
      <c r="D10" s="201">
        <v>0</v>
      </c>
      <c r="E10" s="202"/>
    </row>
    <row r="11" spans="1:5" ht="13">
      <c r="A11" s="60" t="s">
        <v>393</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106</v>
      </c>
      <c r="B14" s="182">
        <f>15885/61372</f>
        <v>0.25883138890699342</v>
      </c>
      <c r="C14" s="182">
        <f>6965/27030</f>
        <v>0.25767665556788755</v>
      </c>
      <c r="D14" s="182">
        <f>3941/23906</f>
        <v>0.16485401154521878</v>
      </c>
      <c r="E14" s="1"/>
    </row>
    <row r="15" spans="1:5" ht="13">
      <c r="A15" s="60" t="s">
        <v>107</v>
      </c>
      <c r="B15" s="161"/>
      <c r="C15" s="161"/>
      <c r="D15" s="161"/>
      <c r="E15" s="1"/>
    </row>
    <row r="16" spans="1:5" s="2" customFormat="1" ht="13">
      <c r="A16" s="225" t="s">
        <v>399</v>
      </c>
      <c r="B16" s="226"/>
      <c r="C16" s="226"/>
      <c r="D16" s="226"/>
      <c r="E16" s="227"/>
    </row>
    <row r="17" spans="1:5" ht="13">
      <c r="A17" s="63" t="s">
        <v>400</v>
      </c>
      <c r="B17" s="327">
        <v>1298</v>
      </c>
      <c r="C17" s="204"/>
      <c r="D17" s="204" t="s">
        <v>100</v>
      </c>
      <c r="E17" s="205"/>
    </row>
    <row r="18" spans="1:5" ht="13">
      <c r="A18" s="63" t="s">
        <v>401</v>
      </c>
      <c r="B18" s="327">
        <v>1289</v>
      </c>
      <c r="C18" s="430" t="s">
        <v>665</v>
      </c>
      <c r="D18" s="204" t="s">
        <v>100</v>
      </c>
      <c r="E18" s="205"/>
    </row>
    <row r="19" spans="1:5" ht="13">
      <c r="A19" s="63" t="s">
        <v>402</v>
      </c>
      <c r="B19" s="327">
        <v>1218</v>
      </c>
      <c r="C19" s="430"/>
      <c r="D19" s="204" t="s">
        <v>100</v>
      </c>
      <c r="E19" s="205"/>
    </row>
    <row r="20" spans="1:5" ht="13">
      <c r="A20" s="63" t="s">
        <v>403</v>
      </c>
      <c r="B20" s="327">
        <v>1038</v>
      </c>
      <c r="C20" s="430"/>
      <c r="D20" s="204" t="s">
        <v>100</v>
      </c>
      <c r="E20" s="205"/>
    </row>
    <row r="21" spans="1:5" ht="13">
      <c r="A21" s="63" t="s">
        <v>404</v>
      </c>
      <c r="B21" s="327">
        <v>800</v>
      </c>
      <c r="C21" s="430"/>
      <c r="D21" s="204" t="s">
        <v>100</v>
      </c>
      <c r="E21" s="205"/>
    </row>
    <row r="22" spans="1:5" ht="14">
      <c r="A22" s="63" t="s">
        <v>405</v>
      </c>
      <c r="B22" s="326">
        <v>3984</v>
      </c>
      <c r="C22" s="430"/>
      <c r="D22" s="204" t="s">
        <v>100</v>
      </c>
      <c r="E22" s="205"/>
    </row>
    <row r="23" spans="1:5">
      <c r="B23" s="183"/>
      <c r="C23" s="430"/>
    </row>
    <row r="25" spans="1:5" ht="13">
      <c r="A25" s="63" t="s">
        <v>664</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242</v>
      </c>
      <c r="B1" s="352" t="s">
        <v>244</v>
      </c>
      <c r="C1" s="352" t="s">
        <v>444</v>
      </c>
      <c r="D1" s="352" t="s">
        <v>452</v>
      </c>
      <c r="E1" s="352" t="s">
        <v>454</v>
      </c>
      <c r="F1" s="352" t="s">
        <v>478</v>
      </c>
      <c r="G1" t="s">
        <v>232</v>
      </c>
    </row>
    <row r="2" spans="1:7">
      <c r="A2" t="s">
        <v>59</v>
      </c>
      <c r="B2" t="s">
        <v>104</v>
      </c>
      <c r="C2" t="s">
        <v>445</v>
      </c>
      <c r="D2" t="s">
        <v>453</v>
      </c>
      <c r="E2">
        <v>1</v>
      </c>
      <c r="F2" t="s">
        <v>453</v>
      </c>
      <c r="G2" t="s">
        <v>473</v>
      </c>
    </row>
    <row r="3" spans="1:7">
      <c r="A3" t="s">
        <v>53</v>
      </c>
      <c r="B3" t="s">
        <v>238</v>
      </c>
      <c r="C3" t="s">
        <v>448</v>
      </c>
      <c r="D3" t="s">
        <v>454</v>
      </c>
      <c r="E3">
        <v>2</v>
      </c>
      <c r="F3" t="s">
        <v>483</v>
      </c>
      <c r="G3" t="s">
        <v>472</v>
      </c>
    </row>
    <row r="4" spans="1:7">
      <c r="C4" t="s">
        <v>446</v>
      </c>
      <c r="D4" t="s">
        <v>455</v>
      </c>
      <c r="F4" t="s">
        <v>484</v>
      </c>
      <c r="G4" t="s">
        <v>471</v>
      </c>
    </row>
    <row r="5" spans="1:7">
      <c r="C5" t="s">
        <v>447</v>
      </c>
      <c r="F5" t="s">
        <v>485</v>
      </c>
      <c r="G5" t="s">
        <v>470</v>
      </c>
    </row>
    <row r="6" spans="1:7">
      <c r="F6" t="s">
        <v>482</v>
      </c>
      <c r="G6" t="s">
        <v>469</v>
      </c>
    </row>
    <row r="7" spans="1:7">
      <c r="G7" t="s">
        <v>468</v>
      </c>
    </row>
    <row r="8" spans="1:7">
      <c r="G8" t="s">
        <v>467</v>
      </c>
    </row>
    <row r="9" spans="1:7">
      <c r="G9" t="s">
        <v>466</v>
      </c>
    </row>
    <row r="10" spans="1:7">
      <c r="G10" t="s">
        <v>465</v>
      </c>
    </row>
    <row r="11" spans="1:7">
      <c r="G11" t="s">
        <v>464</v>
      </c>
    </row>
    <row r="12" spans="1:7">
      <c r="G12" t="s">
        <v>463</v>
      </c>
    </row>
    <row r="13" spans="1:7">
      <c r="G13" t="s">
        <v>462</v>
      </c>
    </row>
    <row r="14" spans="1:7">
      <c r="G14" t="s">
        <v>461</v>
      </c>
    </row>
    <row r="15" spans="1:7">
      <c r="G15" t="s">
        <v>460</v>
      </c>
    </row>
    <row r="16" spans="1:7">
      <c r="G16" t="s">
        <v>459</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9" zoomScale="125" zoomScaleNormal="125" workbookViewId="0">
      <selection activeCell="B35" sqref="B35"/>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0.06</v>
      </c>
      <c r="D2" s="90">
        <f>C2</f>
        <v>0.06</v>
      </c>
      <c r="E2" s="90">
        <f>D2</f>
        <v>0.06</v>
      </c>
      <c r="F2" s="90">
        <f>E2</f>
        <v>0.06</v>
      </c>
      <c r="G2" s="90">
        <f>F2</f>
        <v>0.06</v>
      </c>
      <c r="H2" s="90">
        <f>G2-((G2-$M$2)/5)</f>
        <v>5.1339999999999997E-2</v>
      </c>
      <c r="I2" s="90">
        <f>G2-((G2-$M$2)/5)*2</f>
        <v>4.2679999999999996E-2</v>
      </c>
      <c r="J2" s="90">
        <f>G2-((G2-$M$2)/5)*3</f>
        <v>3.4020000000000002E-2</v>
      </c>
      <c r="K2" s="90">
        <f>G2-((G2-$M$2)/5)*4</f>
        <v>2.5360000000000001E-2</v>
      </c>
      <c r="L2" s="90">
        <f>G2-((G2-$M$2)/5)*5</f>
        <v>1.67E-2</v>
      </c>
      <c r="M2" s="91">
        <f>IF('Input sheet'!B56="Yes",'Input sheet'!B57,'Input sheet'!B29)</f>
        <v>1.67E-2</v>
      </c>
    </row>
    <row r="3" spans="1:14" ht="15" customHeight="1">
      <c r="A3" s="45" t="s">
        <v>11</v>
      </c>
      <c r="B3" s="92">
        <f>'Input sheet'!B8</f>
        <v>14220</v>
      </c>
      <c r="C3" s="93">
        <f>B3*(1+C2)</f>
        <v>15073.2</v>
      </c>
      <c r="D3" s="93">
        <f t="shared" ref="D3:L3" si="0">C3*(1+D2)</f>
        <v>15977.592000000002</v>
      </c>
      <c r="E3" s="93">
        <f t="shared" si="0"/>
        <v>16936.247520000004</v>
      </c>
      <c r="F3" s="93">
        <f t="shared" si="0"/>
        <v>17952.422371200006</v>
      </c>
      <c r="G3" s="93">
        <f t="shared" si="0"/>
        <v>19029.567713472006</v>
      </c>
      <c r="H3" s="93">
        <f t="shared" si="0"/>
        <v>20006.545719881658</v>
      </c>
      <c r="I3" s="93">
        <f t="shared" si="0"/>
        <v>20860.425091206209</v>
      </c>
      <c r="J3" s="93">
        <f t="shared" si="0"/>
        <v>21570.096752809044</v>
      </c>
      <c r="K3" s="93">
        <f t="shared" si="0"/>
        <v>22117.114406460281</v>
      </c>
      <c r="L3" s="93">
        <f t="shared" si="0"/>
        <v>22486.470217048165</v>
      </c>
      <c r="M3" s="109">
        <f>L3*(1+M2)</f>
        <v>22861.994269672869</v>
      </c>
    </row>
    <row r="4" spans="1:14" ht="15" customHeight="1">
      <c r="A4" s="45" t="s">
        <v>26</v>
      </c>
      <c r="B4" s="94">
        <f>B5/B3</f>
        <v>0.24316455696202532</v>
      </c>
      <c r="C4" s="90">
        <f>IF(C1&gt;'Input sheet'!$B$26,'Input sheet'!$B$25,'Input sheet'!$B$25-(('Input sheet'!$B$25-$B$4)/'Input sheet'!$B$26)*('Input sheet'!$B$26-C1))</f>
        <v>0.24053164556962026</v>
      </c>
      <c r="D4" s="90">
        <f>IF(D1&gt;'Input sheet'!$B$26,'Input sheet'!$B$25,'Input sheet'!$B$25-(('Input sheet'!$B$25-$B$4)/'Input sheet'!$B$26)*('Input sheet'!$B$26-D1))</f>
        <v>0.23789873417721519</v>
      </c>
      <c r="E4" s="90">
        <f>IF(E1&gt;'Input sheet'!$B$26,'Input sheet'!$B$25,'Input sheet'!$B$25-(('Input sheet'!$B$25-$B$4)/'Input sheet'!$B$26)*('Input sheet'!$B$26-E1))</f>
        <v>0.23526582278481015</v>
      </c>
      <c r="F4" s="90">
        <f>IF(F1&gt;'Input sheet'!$B$26,'Input sheet'!$B$25,'Input sheet'!$B$25-(('Input sheet'!$B$25-$B$4)/'Input sheet'!$B$26)*('Input sheet'!$B$26-F1))</f>
        <v>0.23263291139240508</v>
      </c>
      <c r="G4" s="90">
        <f>IF(G1&gt;'Input sheet'!$B$26,'Input sheet'!$B$25,'Input sheet'!$B$25-(('Input sheet'!$B$25-$B$4)/'Input sheet'!$B$26)*('Input sheet'!$B$26-G1))</f>
        <v>0.23</v>
      </c>
      <c r="H4" s="90">
        <f>IF(H1&gt;'Input sheet'!$B$26,'Input sheet'!$B$25,'Input sheet'!$B$25-(('Input sheet'!$B$25-$B$4)/'Input sheet'!$B$26)*('Input sheet'!$B$26-H1))</f>
        <v>0.23</v>
      </c>
      <c r="I4" s="90">
        <f>IF(I1&gt;'Input sheet'!$B$26,'Input sheet'!$B$25,'Input sheet'!$B$25-(('Input sheet'!$B$25-$B$4)/'Input sheet'!$B$26)*('Input sheet'!$B$26-I1))</f>
        <v>0.23</v>
      </c>
      <c r="J4" s="90">
        <f>IF(J1&gt;'Input sheet'!$B$26,'Input sheet'!$B$25,'Input sheet'!$B$25-(('Input sheet'!$B$25-$B$4)/'Input sheet'!$B$26)*('Input sheet'!$B$26-J1))</f>
        <v>0.23</v>
      </c>
      <c r="K4" s="90">
        <f>IF(K1&gt;'Input sheet'!$B$26,'Input sheet'!$B$25,'Input sheet'!$B$25-(('Input sheet'!$B$25-$B$4)/'Input sheet'!$B$26)*('Input sheet'!$B$26-K1))</f>
        <v>0.23</v>
      </c>
      <c r="L4" s="90">
        <f>IF(L1&gt;'Input sheet'!$B$26,'Input sheet'!$B$25,'Input sheet'!$B$25-(('Input sheet'!$B$25-$B$4)/'Input sheet'!$B$26)*('Input sheet'!$B$26-L1))</f>
        <v>0.23</v>
      </c>
      <c r="M4" s="91">
        <f>L4</f>
        <v>0.23</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3457.8</v>
      </c>
      <c r="C5" s="93">
        <f t="shared" ref="C5:M5" si="1">C4*C3</f>
        <v>3625.5816000000004</v>
      </c>
      <c r="D5" s="93">
        <f t="shared" si="1"/>
        <v>3801.0489120000007</v>
      </c>
      <c r="E5" s="93">
        <f t="shared" si="1"/>
        <v>3984.5202076800015</v>
      </c>
      <c r="F5" s="93">
        <f t="shared" si="1"/>
        <v>4176.3242827584018</v>
      </c>
      <c r="G5" s="93">
        <f t="shared" si="1"/>
        <v>4376.8005740985618</v>
      </c>
      <c r="H5" s="93">
        <f t="shared" si="1"/>
        <v>4601.5055155727814</v>
      </c>
      <c r="I5" s="93">
        <f t="shared" si="1"/>
        <v>4797.8977709774281</v>
      </c>
      <c r="J5" s="93">
        <f t="shared" si="1"/>
        <v>4961.1222531460808</v>
      </c>
      <c r="K5" s="93">
        <f t="shared" si="1"/>
        <v>5086.936313485865</v>
      </c>
      <c r="L5" s="93">
        <f t="shared" si="1"/>
        <v>5171.8881499210784</v>
      </c>
      <c r="M5" s="109">
        <f t="shared" si="1"/>
        <v>5258.2586820247598</v>
      </c>
      <c r="N5" s="111">
        <f>M5-B5</f>
        <v>1800.4586820247596</v>
      </c>
    </row>
    <row r="6" spans="1:14" ht="15" customHeight="1">
      <c r="A6" s="45" t="s">
        <v>142</v>
      </c>
      <c r="B6" s="95">
        <f>'Input sheet'!B21</f>
        <v>0.24</v>
      </c>
      <c r="C6" s="96">
        <f>B6</f>
        <v>0.24</v>
      </c>
      <c r="D6" s="96">
        <f>C6</f>
        <v>0.24</v>
      </c>
      <c r="E6" s="96">
        <f>D6</f>
        <v>0.24</v>
      </c>
      <c r="F6" s="96">
        <f>E6</f>
        <v>0.24</v>
      </c>
      <c r="G6" s="96">
        <f>F6</f>
        <v>0.24</v>
      </c>
      <c r="H6" s="96">
        <f>G6+($M$6-$G$6)/5</f>
        <v>0.24199999999999999</v>
      </c>
      <c r="I6" s="96">
        <f>H6+($M$6-$G$6)/5</f>
        <v>0.24399999999999999</v>
      </c>
      <c r="J6" s="96">
        <f>I6+($M$6-$G$6)/5</f>
        <v>0.246</v>
      </c>
      <c r="K6" s="96">
        <f>J6+($M$6-$G$6)/5</f>
        <v>0.248</v>
      </c>
      <c r="L6" s="96">
        <f>K6+($M$6-$G$6)/5</f>
        <v>0.25</v>
      </c>
      <c r="M6" s="96">
        <f>IF('Input sheet'!B51="Yes",'Input sheet'!B21,'Input sheet'!B22)</f>
        <v>0.25</v>
      </c>
    </row>
    <row r="7" spans="1:14" ht="15" customHeight="1">
      <c r="A7" s="45" t="s">
        <v>12</v>
      </c>
      <c r="B7" s="92">
        <f>IF(B5&gt;0,B5*(1-B6),B5)</f>
        <v>2627.9280000000003</v>
      </c>
      <c r="C7" s="93">
        <f>IF(C5&gt;0,IF(C5&lt;B10,C5,C5-(C5-B10)*C6),C5)</f>
        <v>2755.4420160000004</v>
      </c>
      <c r="D7" s="93">
        <f t="shared" ref="D7:L7" si="2">IF(D5&gt;0,IF(D5&lt;C10,D5,D5-(D5-C10)*D6),D5)</f>
        <v>2888.7971731200005</v>
      </c>
      <c r="E7" s="93">
        <f t="shared" si="2"/>
        <v>3028.2353578368011</v>
      </c>
      <c r="F7" s="93">
        <f t="shared" si="2"/>
        <v>3174.0064548963855</v>
      </c>
      <c r="G7" s="93">
        <f t="shared" si="2"/>
        <v>3326.3684363149068</v>
      </c>
      <c r="H7" s="93">
        <f t="shared" si="2"/>
        <v>3487.9411808041687</v>
      </c>
      <c r="I7" s="93">
        <f t="shared" si="2"/>
        <v>3627.2107148589357</v>
      </c>
      <c r="J7" s="93">
        <f t="shared" si="2"/>
        <v>3740.6861788721449</v>
      </c>
      <c r="K7" s="93">
        <f t="shared" si="2"/>
        <v>3825.3761077413706</v>
      </c>
      <c r="L7" s="93">
        <f t="shared" si="2"/>
        <v>3878.9161124408088</v>
      </c>
      <c r="M7" s="93">
        <f>M5*(1-M6)</f>
        <v>3943.6940115185698</v>
      </c>
    </row>
    <row r="8" spans="1:14" ht="15" customHeight="1">
      <c r="A8" s="45" t="s">
        <v>15</v>
      </c>
      <c r="B8" s="92"/>
      <c r="C8" s="93">
        <f t="shared" ref="C8:L8" si="3">(C3-B3)/C38</f>
        <v>568.2720000000005</v>
      </c>
      <c r="D8" s="93">
        <f t="shared" si="3"/>
        <v>602.36832000000106</v>
      </c>
      <c r="E8" s="93">
        <f t="shared" si="3"/>
        <v>638.51041920000137</v>
      </c>
      <c r="F8" s="93">
        <f t="shared" si="3"/>
        <v>676.82104435200085</v>
      </c>
      <c r="G8" s="93">
        <f t="shared" si="3"/>
        <v>717.43030701312034</v>
      </c>
      <c r="H8" s="93">
        <f t="shared" si="3"/>
        <v>650.71407132961303</v>
      </c>
      <c r="I8" s="93">
        <f t="shared" si="3"/>
        <v>568.72449378966826</v>
      </c>
      <c r="J8" s="93">
        <f t="shared" si="3"/>
        <v>472.67526310638345</v>
      </c>
      <c r="K8" s="93">
        <f t="shared" si="3"/>
        <v>364.33991570053428</v>
      </c>
      <c r="L8" s="93">
        <f t="shared" si="3"/>
        <v>246.00863243600313</v>
      </c>
      <c r="M8" s="97">
        <f>IF(M2&gt;0,(M2/M40)*M7,0)</f>
        <v>1067.4179901517036</v>
      </c>
      <c r="N8" s="111">
        <f>SUM(C8:M8)</f>
        <v>6573.2824570790299</v>
      </c>
    </row>
    <row r="9" spans="1:14" ht="15" customHeight="1">
      <c r="A9" s="45" t="s">
        <v>16</v>
      </c>
      <c r="B9" s="92"/>
      <c r="C9" s="93">
        <f t="shared" ref="C9:L9" si="4">C7-C8</f>
        <v>2187.170016</v>
      </c>
      <c r="D9" s="93">
        <f t="shared" si="4"/>
        <v>2286.4288531199995</v>
      </c>
      <c r="E9" s="93">
        <f t="shared" si="4"/>
        <v>2389.7249386367998</v>
      </c>
      <c r="F9" s="93">
        <f t="shared" si="4"/>
        <v>2497.1854105443845</v>
      </c>
      <c r="G9" s="93">
        <f t="shared" si="4"/>
        <v>2608.9381293017864</v>
      </c>
      <c r="H9" s="93">
        <f t="shared" si="4"/>
        <v>2837.2271094745556</v>
      </c>
      <c r="I9" s="93">
        <f t="shared" si="4"/>
        <v>3058.4862210692672</v>
      </c>
      <c r="J9" s="93">
        <f t="shared" si="4"/>
        <v>3268.0109157657616</v>
      </c>
      <c r="K9" s="93">
        <f t="shared" si="4"/>
        <v>3461.0361920408363</v>
      </c>
      <c r="L9" s="93">
        <f t="shared" si="4"/>
        <v>3632.9074800048056</v>
      </c>
      <c r="M9" s="97">
        <f>M7-M8</f>
        <v>2876.2760213668662</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148</v>
      </c>
      <c r="B12" s="94"/>
      <c r="C12" s="90">
        <f>'Input sheet'!B30</f>
        <v>7.5779316965438576E-2</v>
      </c>
      <c r="D12" s="90">
        <f>C12</f>
        <v>7.5779316965438576E-2</v>
      </c>
      <c r="E12" s="90">
        <f>D12</f>
        <v>7.5779316965438576E-2</v>
      </c>
      <c r="F12" s="90">
        <f>E12</f>
        <v>7.5779316965438576E-2</v>
      </c>
      <c r="G12" s="90">
        <f>F12</f>
        <v>7.5779316965438576E-2</v>
      </c>
      <c r="H12" s="90">
        <f>G12-($G$12-$M$12)/5</f>
        <v>7.2963453572350859E-2</v>
      </c>
      <c r="I12" s="90">
        <f>H12-($G$12-$M$12)/5</f>
        <v>7.0147590179263142E-2</v>
      </c>
      <c r="J12" s="90">
        <f>I12-($G$12-$M$12)/5</f>
        <v>6.7331726786175425E-2</v>
      </c>
      <c r="K12" s="90">
        <f>J12-($G$12-$M$12)/5</f>
        <v>6.4515863393087708E-2</v>
      </c>
      <c r="L12" s="90">
        <f>K12-($G$12-$M$12)/5</f>
        <v>6.1699999999999991E-2</v>
      </c>
      <c r="M12" s="91">
        <f>IF('Input sheet'!B40="Yes",'Input sheet'!B41,'Input sheet'!B29+0.045)</f>
        <v>6.1699999999999998E-2</v>
      </c>
    </row>
    <row r="13" spans="1:14" ht="15" customHeight="1">
      <c r="A13" s="46" t="s">
        <v>149</v>
      </c>
      <c r="B13" s="89"/>
      <c r="C13" s="153">
        <f>1/(1+C12)</f>
        <v>0.92955867828060024</v>
      </c>
      <c r="D13" s="153">
        <f>C13*(1/(1+D12))</f>
        <v>0.86407933636677647</v>
      </c>
      <c r="E13" s="153">
        <f t="shared" ref="E13:L13" si="6">D13*(1/(1+E12))</f>
        <v>0.80321244584267892</v>
      </c>
      <c r="F13" s="153">
        <f t="shared" si="6"/>
        <v>0.74663309953604884</v>
      </c>
      <c r="G13" s="153">
        <f t="shared" si="6"/>
        <v>0.69403927716527736</v>
      </c>
      <c r="H13" s="153">
        <f t="shared" si="6"/>
        <v>0.64684335226379419</v>
      </c>
      <c r="I13" s="153">
        <f t="shared" si="6"/>
        <v>0.60444312373346543</v>
      </c>
      <c r="J13" s="153">
        <f t="shared" si="6"/>
        <v>0.5663123362344844</v>
      </c>
      <c r="K13" s="153">
        <f t="shared" si="6"/>
        <v>0.53199050921551694</v>
      </c>
      <c r="L13" s="153">
        <f t="shared" si="6"/>
        <v>0.50107422926958356</v>
      </c>
      <c r="M13" s="98"/>
    </row>
    <row r="14" spans="1:14" ht="15" customHeight="1">
      <c r="A14" s="46" t="s">
        <v>21</v>
      </c>
      <c r="B14" s="89"/>
      <c r="C14" s="93">
        <f t="shared" ref="C14:L14" si="7">C9*C13</f>
        <v>2033.1028692479192</v>
      </c>
      <c r="D14" s="93">
        <f t="shared" si="7"/>
        <v>1975.655926053779</v>
      </c>
      <c r="E14" s="93">
        <f t="shared" si="7"/>
        <v>1919.4568128537098</v>
      </c>
      <c r="F14" s="93">
        <f t="shared" si="7"/>
        <v>1864.4812831909544</v>
      </c>
      <c r="G14" s="93">
        <f t="shared" si="7"/>
        <v>1810.7055334295428</v>
      </c>
      <c r="H14" s="93">
        <f t="shared" si="7"/>
        <v>1835.2414946262365</v>
      </c>
      <c r="I14" s="93">
        <f t="shared" si="7"/>
        <v>1848.6809653588703</v>
      </c>
      <c r="J14" s="93">
        <f t="shared" si="7"/>
        <v>1850.7148965471054</v>
      </c>
      <c r="K14" s="93">
        <f t="shared" si="7"/>
        <v>1841.2384062171382</v>
      </c>
      <c r="L14" s="93">
        <f t="shared" si="7"/>
        <v>1820.3563155511131</v>
      </c>
      <c r="M14" s="98"/>
    </row>
    <row r="15" spans="1:14" ht="15" customHeight="1">
      <c r="A15" s="46"/>
      <c r="B15" s="45"/>
      <c r="C15" s="51"/>
      <c r="D15" s="51"/>
      <c r="E15" s="51"/>
      <c r="F15" s="51"/>
      <c r="G15" s="51"/>
      <c r="H15" s="51"/>
      <c r="I15" s="51"/>
      <c r="J15" s="51"/>
      <c r="K15" s="51"/>
      <c r="L15" s="51"/>
    </row>
    <row r="16" spans="1:14" ht="15" customHeight="1">
      <c r="A16" s="48" t="s">
        <v>22</v>
      </c>
      <c r="B16" s="92">
        <f>M9</f>
        <v>2876.2760213668662</v>
      </c>
      <c r="C16" s="51"/>
      <c r="D16" s="51"/>
      <c r="E16" s="51"/>
      <c r="F16" s="51"/>
      <c r="G16" s="51"/>
      <c r="H16" s="51"/>
      <c r="I16" s="51"/>
      <c r="J16" s="51"/>
      <c r="K16" s="51"/>
      <c r="L16" s="51"/>
    </row>
    <row r="17" spans="1:12" ht="15" customHeight="1">
      <c r="A17" s="48" t="s">
        <v>144</v>
      </c>
      <c r="B17" s="94">
        <f>M12</f>
        <v>6.1699999999999998E-2</v>
      </c>
      <c r="C17" s="51"/>
      <c r="D17" s="51"/>
      <c r="E17" s="51"/>
      <c r="F17" s="51"/>
      <c r="G17" s="51"/>
      <c r="H17" s="51"/>
      <c r="I17" s="51"/>
      <c r="J17" s="51"/>
      <c r="K17" s="51"/>
      <c r="L17" s="51"/>
    </row>
    <row r="18" spans="1:12">
      <c r="A18" s="48" t="s">
        <v>23</v>
      </c>
      <c r="B18" s="92">
        <f>B16/(B17-M2)</f>
        <v>63917.244919263692</v>
      </c>
      <c r="C18" s="51"/>
      <c r="D18" s="154"/>
      <c r="E18" s="51"/>
      <c r="F18" s="51"/>
      <c r="G18" s="51"/>
      <c r="H18" s="51"/>
      <c r="I18" s="51"/>
      <c r="J18" s="51"/>
      <c r="K18" s="51"/>
      <c r="L18" s="51"/>
    </row>
    <row r="19" spans="1:12">
      <c r="A19" s="48" t="s">
        <v>24</v>
      </c>
      <c r="B19" s="99">
        <f>B18*L13</f>
        <v>32027.284234955259</v>
      </c>
      <c r="C19" s="51"/>
      <c r="D19" s="51"/>
      <c r="E19" s="51"/>
      <c r="F19" s="51"/>
      <c r="G19" s="51"/>
      <c r="H19" s="51"/>
      <c r="I19" s="51"/>
      <c r="J19" s="51"/>
      <c r="K19" s="51"/>
      <c r="L19" s="51"/>
    </row>
    <row r="20" spans="1:12">
      <c r="A20" s="48" t="s">
        <v>46</v>
      </c>
      <c r="B20" s="99">
        <f>SUM(C14:L14)</f>
        <v>18799.63450307637</v>
      </c>
      <c r="C20" s="51"/>
      <c r="D20" s="51"/>
      <c r="E20" s="51"/>
      <c r="F20" s="51"/>
      <c r="G20" s="51"/>
      <c r="H20" s="51"/>
      <c r="I20" s="51"/>
      <c r="J20" s="51"/>
      <c r="K20" s="51"/>
      <c r="L20" s="51"/>
    </row>
    <row r="21" spans="1:12">
      <c r="A21" s="48" t="s">
        <v>47</v>
      </c>
      <c r="B21" s="99">
        <f>B19+B20</f>
        <v>50826.918738031629</v>
      </c>
      <c r="C21" s="51"/>
      <c r="D21" s="51"/>
      <c r="E21" s="51"/>
      <c r="F21" s="51"/>
      <c r="G21" s="51"/>
      <c r="H21" s="51"/>
      <c r="I21" s="51"/>
      <c r="J21" s="51"/>
      <c r="K21" s="51"/>
      <c r="L21" s="51"/>
    </row>
    <row r="22" spans="1:12">
      <c r="A22" s="48" t="s">
        <v>112</v>
      </c>
      <c r="B22" s="100">
        <f>IF('Input sheet'!B46="Yes",'Input sheet'!B47,0)</f>
        <v>0</v>
      </c>
      <c r="C22" s="51"/>
      <c r="D22" s="51"/>
      <c r="E22" s="51"/>
      <c r="F22" s="51"/>
      <c r="G22" s="51"/>
      <c r="H22" s="51"/>
      <c r="I22" s="51"/>
      <c r="J22" s="51"/>
      <c r="K22" s="51"/>
      <c r="L22" s="51"/>
    </row>
    <row r="23" spans="1:12">
      <c r="A23" s="48" t="s">
        <v>113</v>
      </c>
      <c r="B23" s="101">
        <f>IF('Input sheet'!B48="B",('Input sheet'!B11+'Input sheet'!B12)*'Input sheet'!B49,'Valuation output'!B21*'Input sheet'!B49)</f>
        <v>25413.459369015814</v>
      </c>
      <c r="C23" s="51"/>
      <c r="D23" s="51"/>
      <c r="E23" s="51"/>
      <c r="F23" s="51"/>
      <c r="G23" s="51"/>
      <c r="H23" s="51"/>
      <c r="I23" s="51"/>
      <c r="J23" s="51"/>
      <c r="K23" s="51"/>
      <c r="L23" s="51"/>
    </row>
    <row r="24" spans="1:12">
      <c r="A24" s="48" t="s">
        <v>44</v>
      </c>
      <c r="B24" s="92">
        <f>B21*(1-B22)+B23*B22</f>
        <v>50826.918738031629</v>
      </c>
      <c r="C24" s="51"/>
      <c r="D24" s="51"/>
      <c r="E24" s="51"/>
      <c r="F24" s="51"/>
      <c r="G24" s="51"/>
      <c r="H24" s="51"/>
      <c r="I24" s="51"/>
      <c r="J24" s="51"/>
      <c r="K24" s="51"/>
      <c r="L24" s="51"/>
    </row>
    <row r="25" spans="1:12">
      <c r="A25" s="48" t="s">
        <v>392</v>
      </c>
      <c r="B25" s="92">
        <f>IF('Input sheet'!B14="Yes",'Input sheet'!B12+'Operating lease converter'!C28,'Input sheet'!B12)+'Input sheet'!B18</f>
        <v>7926</v>
      </c>
      <c r="C25" s="51"/>
      <c r="D25" s="51"/>
      <c r="E25" s="51"/>
      <c r="F25" s="51"/>
      <c r="G25" s="51"/>
      <c r="H25" s="51"/>
      <c r="I25" s="51"/>
      <c r="J25" s="51"/>
      <c r="K25" s="51"/>
      <c r="L25" s="51"/>
    </row>
    <row r="26" spans="1:12">
      <c r="A26" s="48" t="s">
        <v>394</v>
      </c>
      <c r="B26" s="92">
        <f>'Input sheet'!B17</f>
        <v>0</v>
      </c>
      <c r="C26" s="51"/>
      <c r="D26" s="51"/>
      <c r="E26" s="51"/>
      <c r="F26" s="51"/>
      <c r="G26" s="51"/>
      <c r="H26" s="51"/>
      <c r="I26" s="51"/>
      <c r="J26" s="51"/>
      <c r="K26" s="51"/>
      <c r="L26" s="51"/>
    </row>
    <row r="27" spans="1:12">
      <c r="A27" s="48" t="s">
        <v>391</v>
      </c>
      <c r="B27" s="92">
        <f>IF('Input sheet'!B59="YES",'Input sheet'!B15-'Input sheet'!B60*('Input sheet'!B22-'Input sheet'!B61),'Input sheet'!B15)</f>
        <v>1825</v>
      </c>
      <c r="C27" s="51"/>
      <c r="D27" s="51"/>
      <c r="E27" s="51"/>
      <c r="F27" s="51"/>
      <c r="G27" s="51"/>
      <c r="H27" s="51"/>
      <c r="I27" s="51"/>
      <c r="J27" s="51"/>
      <c r="K27" s="51"/>
      <c r="L27" s="51"/>
    </row>
    <row r="28" spans="1:12">
      <c r="A28" s="48" t="s">
        <v>390</v>
      </c>
      <c r="B28" s="92">
        <f>'Input sheet'!B16</f>
        <v>0</v>
      </c>
      <c r="C28" s="51"/>
      <c r="D28" s="51"/>
      <c r="E28" s="51"/>
      <c r="F28" s="51"/>
      <c r="G28" s="51"/>
      <c r="H28" s="51"/>
      <c r="I28" s="51"/>
      <c r="J28" s="51"/>
      <c r="K28" s="51"/>
      <c r="L28" s="51"/>
    </row>
    <row r="29" spans="1:12">
      <c r="A29" s="48" t="s">
        <v>54</v>
      </c>
      <c r="B29" s="99">
        <f>B24-B25-B26+B27+B28</f>
        <v>44725.918738031629</v>
      </c>
      <c r="C29" s="51"/>
      <c r="D29" s="51"/>
      <c r="E29" s="51"/>
      <c r="F29" s="51"/>
      <c r="G29" s="51"/>
      <c r="H29" s="51"/>
      <c r="I29" s="51"/>
      <c r="J29" s="51"/>
      <c r="K29" s="51"/>
      <c r="L29" s="51"/>
    </row>
    <row r="30" spans="1:12">
      <c r="A30" s="48" t="s">
        <v>60</v>
      </c>
      <c r="B30" s="102">
        <f>IF('Input sheet'!B32="No",0,'Option value'!D27)</f>
        <v>0</v>
      </c>
      <c r="C30" s="51"/>
      <c r="D30" s="51"/>
      <c r="E30" s="51"/>
      <c r="F30" s="51"/>
      <c r="G30" s="51"/>
      <c r="H30" s="51"/>
      <c r="I30" s="51"/>
      <c r="J30" s="51"/>
      <c r="K30" s="51"/>
      <c r="L30" s="51"/>
    </row>
    <row r="31" spans="1:12">
      <c r="A31" s="48" t="s">
        <v>61</v>
      </c>
      <c r="B31" s="99">
        <f>B29-B30</f>
        <v>44725.918738031629</v>
      </c>
      <c r="C31" s="51"/>
      <c r="D31" s="51"/>
      <c r="E31" s="51"/>
      <c r="F31" s="51"/>
      <c r="G31" s="51"/>
      <c r="H31" s="51"/>
      <c r="I31" s="51"/>
      <c r="J31" s="51"/>
      <c r="K31" s="51"/>
      <c r="L31" s="51"/>
    </row>
    <row r="32" spans="1:12">
      <c r="A32" s="48" t="s">
        <v>13</v>
      </c>
      <c r="B32" s="103">
        <f>'Input sheet'!B19</f>
        <v>321.41000000000003</v>
      </c>
      <c r="C32" s="51"/>
      <c r="D32" s="51"/>
      <c r="E32" s="51"/>
      <c r="F32" s="51"/>
      <c r="G32" s="51"/>
      <c r="H32" s="51"/>
      <c r="I32" s="51"/>
      <c r="J32" s="51"/>
      <c r="K32" s="51"/>
      <c r="L32" s="51"/>
    </row>
    <row r="33" spans="1:13">
      <c r="A33" s="48" t="s">
        <v>96</v>
      </c>
      <c r="B33" s="104">
        <f>B31/B32</f>
        <v>139.15534282701728</v>
      </c>
      <c r="C33" s="51"/>
      <c r="D33" s="51"/>
      <c r="E33" s="51"/>
      <c r="F33" s="51"/>
      <c r="G33" s="51"/>
      <c r="H33" s="51"/>
      <c r="I33" s="51"/>
      <c r="J33" s="51"/>
      <c r="K33" s="51"/>
      <c r="L33" s="51"/>
    </row>
    <row r="34" spans="1:13">
      <c r="A34" s="48" t="s">
        <v>103</v>
      </c>
      <c r="B34" s="105">
        <f>'Input sheet'!B20</f>
        <v>179.82</v>
      </c>
      <c r="C34" s="51"/>
      <c r="D34" s="51"/>
      <c r="E34" s="51"/>
      <c r="F34" s="51"/>
      <c r="G34" s="51"/>
      <c r="H34" s="51"/>
      <c r="I34" s="51"/>
      <c r="J34" s="51"/>
      <c r="K34" s="51"/>
      <c r="L34" s="51"/>
    </row>
    <row r="35" spans="1:13">
      <c r="A35" s="48" t="s">
        <v>52</v>
      </c>
      <c r="B35" s="95">
        <f>B34/B33</f>
        <v>1.2922249074082091</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1.5013936987921277</v>
      </c>
      <c r="D38" s="106">
        <f>C38</f>
        <v>1.5013936987921277</v>
      </c>
      <c r="E38" s="106">
        <f t="shared" ref="E38:L38" si="8">D38</f>
        <v>1.5013936987921277</v>
      </c>
      <c r="F38" s="106">
        <f t="shared" si="8"/>
        <v>1.5013936987921277</v>
      </c>
      <c r="G38" s="106">
        <f t="shared" si="8"/>
        <v>1.5013936987921277</v>
      </c>
      <c r="H38" s="106">
        <f t="shared" si="8"/>
        <v>1.5013936987921277</v>
      </c>
      <c r="I38" s="106">
        <f t="shared" si="8"/>
        <v>1.5013936987921277</v>
      </c>
      <c r="J38" s="106">
        <f t="shared" si="8"/>
        <v>1.5013936987921277</v>
      </c>
      <c r="K38" s="106">
        <f t="shared" si="8"/>
        <v>1.5013936987921277</v>
      </c>
      <c r="L38" s="106">
        <f t="shared" si="8"/>
        <v>1.5013936987921277</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9471.2000000000007</v>
      </c>
      <c r="C39" s="108">
        <f t="shared" ref="C39:L39" si="9">B39+C8</f>
        <v>10039.472000000002</v>
      </c>
      <c r="D39" s="108">
        <f t="shared" si="9"/>
        <v>10641.840320000003</v>
      </c>
      <c r="E39" s="108">
        <f t="shared" si="9"/>
        <v>11280.350739200005</v>
      </c>
      <c r="F39" s="108">
        <f t="shared" si="9"/>
        <v>11957.171783552005</v>
      </c>
      <c r="G39" s="108">
        <f t="shared" si="9"/>
        <v>12674.602090565126</v>
      </c>
      <c r="H39" s="108">
        <f t="shared" si="9"/>
        <v>13325.316161894738</v>
      </c>
      <c r="I39" s="108">
        <f t="shared" si="9"/>
        <v>13894.040655684406</v>
      </c>
      <c r="J39" s="108">
        <f t="shared" si="9"/>
        <v>14366.715918790789</v>
      </c>
      <c r="K39" s="108">
        <f t="shared" si="9"/>
        <v>14731.055834491324</v>
      </c>
      <c r="L39" s="108">
        <f t="shared" si="9"/>
        <v>14977.064466927328</v>
      </c>
      <c r="M39" s="98"/>
    </row>
    <row r="40" spans="1:13">
      <c r="A40" s="44" t="s">
        <v>19</v>
      </c>
      <c r="B40" s="94">
        <f t="shared" ref="B40:L40" si="10">B7/B39</f>
        <v>0.27746515753019685</v>
      </c>
      <c r="C40" s="90">
        <f t="shared" si="10"/>
        <v>0.27446084973393026</v>
      </c>
      <c r="D40" s="90">
        <f t="shared" si="10"/>
        <v>0.27145654193766361</v>
      </c>
      <c r="E40" s="90">
        <f t="shared" si="10"/>
        <v>0.26845223414139707</v>
      </c>
      <c r="F40" s="90">
        <f t="shared" si="10"/>
        <v>0.26544792634513054</v>
      </c>
      <c r="G40" s="90">
        <f t="shared" si="10"/>
        <v>0.26244361854886389</v>
      </c>
      <c r="H40" s="90">
        <f t="shared" si="10"/>
        <v>0.26175297744741954</v>
      </c>
      <c r="I40" s="90">
        <f t="shared" si="10"/>
        <v>0.26106233634597514</v>
      </c>
      <c r="J40" s="90">
        <f t="shared" si="10"/>
        <v>0.2603716952445308</v>
      </c>
      <c r="K40" s="90">
        <f t="shared" si="10"/>
        <v>0.2596810541430864</v>
      </c>
      <c r="L40" s="110">
        <f t="shared" si="10"/>
        <v>0.258990413041642</v>
      </c>
      <c r="M40" s="90">
        <f>IF('Input sheet'!B43="Yes",'Input sheet'!B44,'Valuation output'!L12)</f>
        <v>6.1699999999999991E-2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419" t="str">
        <f>'Input sheet'!B2</f>
        <v>Illinois Tool Works</v>
      </c>
      <c r="B1" s="419"/>
      <c r="C1" s="419"/>
      <c r="D1" s="419"/>
      <c r="E1" s="419"/>
      <c r="F1" s="419"/>
      <c r="G1" s="419"/>
    </row>
    <row r="2" spans="1:11">
      <c r="A2" s="420" t="s">
        <v>629</v>
      </c>
      <c r="B2" s="420"/>
      <c r="C2" s="420"/>
      <c r="D2" s="420"/>
      <c r="E2" s="420"/>
      <c r="F2" s="420"/>
      <c r="G2" s="420"/>
    </row>
    <row r="3" spans="1:11" ht="16" customHeight="1">
      <c r="A3" s="373"/>
      <c r="B3" s="374"/>
      <c r="C3" s="374"/>
      <c r="D3" s="374"/>
      <c r="E3" s="374"/>
      <c r="F3" s="374"/>
      <c r="G3" s="375"/>
      <c r="H3" s="382" t="s">
        <v>654</v>
      </c>
      <c r="I3" s="383"/>
      <c r="J3" s="383"/>
      <c r="K3" s="384"/>
    </row>
    <row r="4" spans="1:11" ht="16" customHeight="1">
      <c r="A4" s="376"/>
      <c r="B4" s="377"/>
      <c r="C4" s="377"/>
      <c r="D4" s="377"/>
      <c r="E4" s="377"/>
      <c r="F4" s="377"/>
      <c r="G4" s="378"/>
      <c r="H4" s="385"/>
      <c r="I4" s="386"/>
      <c r="J4" s="386"/>
      <c r="K4" s="387"/>
    </row>
    <row r="5" spans="1:11" ht="12" customHeight="1">
      <c r="A5" s="376"/>
      <c r="B5" s="377"/>
      <c r="C5" s="377"/>
      <c r="D5" s="377"/>
      <c r="E5" s="377"/>
      <c r="F5" s="377"/>
      <c r="G5" s="378"/>
      <c r="H5" s="385"/>
      <c r="I5" s="386"/>
      <c r="J5" s="386"/>
      <c r="K5" s="387"/>
    </row>
    <row r="6" spans="1:11" ht="12" customHeight="1">
      <c r="A6" s="379"/>
      <c r="B6" s="380"/>
      <c r="C6" s="380"/>
      <c r="D6" s="380"/>
      <c r="E6" s="380"/>
      <c r="F6" s="380"/>
      <c r="G6" s="381"/>
      <c r="H6" s="388"/>
      <c r="I6" s="389"/>
      <c r="J6" s="389"/>
      <c r="K6" s="390"/>
    </row>
    <row r="7" spans="1:11">
      <c r="A7" s="421" t="s">
        <v>630</v>
      </c>
      <c r="B7" s="422"/>
      <c r="C7" s="422"/>
      <c r="D7" s="422"/>
      <c r="E7" s="422"/>
      <c r="F7" s="422"/>
      <c r="G7" s="423"/>
    </row>
    <row r="8" spans="1:11">
      <c r="A8" s="272"/>
      <c r="B8" s="267" t="s">
        <v>631</v>
      </c>
      <c r="C8" s="268" t="s">
        <v>632</v>
      </c>
      <c r="D8" s="267" t="s">
        <v>633</v>
      </c>
      <c r="E8" s="267"/>
      <c r="F8" s="267" t="s">
        <v>43</v>
      </c>
      <c r="G8" s="269" t="s">
        <v>640</v>
      </c>
    </row>
    <row r="9" spans="1:11">
      <c r="A9" s="273" t="s">
        <v>641</v>
      </c>
      <c r="B9" s="274">
        <f>'Valuation output'!B3</f>
        <v>14220</v>
      </c>
      <c r="C9" s="275">
        <f>'Input sheet'!B24</f>
        <v>0.06</v>
      </c>
      <c r="D9" s="275">
        <f>F9</f>
        <v>1.67E-2</v>
      </c>
      <c r="E9" s="276"/>
      <c r="F9" s="275">
        <f>'Valuation output'!M2</f>
        <v>1.67E-2</v>
      </c>
      <c r="G9" s="299" t="s">
        <v>757</v>
      </c>
      <c r="H9" s="391" t="s">
        <v>655</v>
      </c>
      <c r="I9" s="392"/>
      <c r="J9" s="392"/>
      <c r="K9" s="393"/>
    </row>
    <row r="10" spans="1:11">
      <c r="A10" s="273" t="s">
        <v>642</v>
      </c>
      <c r="B10" s="275">
        <f>'Valuation output'!B4</f>
        <v>0.24316455696202532</v>
      </c>
      <c r="C10" s="277">
        <f>B10</f>
        <v>0.24316455696202532</v>
      </c>
      <c r="D10" s="278">
        <f>F10</f>
        <v>0.23</v>
      </c>
      <c r="E10" s="278"/>
      <c r="F10" s="275">
        <f>'Valuation output'!M4</f>
        <v>0.23</v>
      </c>
      <c r="G10" s="304" t="s">
        <v>758</v>
      </c>
      <c r="H10" s="394"/>
      <c r="I10" s="395"/>
      <c r="J10" s="395"/>
      <c r="K10" s="396"/>
    </row>
    <row r="11" spans="1:11">
      <c r="A11" s="273" t="s">
        <v>142</v>
      </c>
      <c r="B11" s="275">
        <f>'Valuation output'!B6</f>
        <v>0.24</v>
      </c>
      <c r="C11" s="277">
        <f>B11</f>
        <v>0.24</v>
      </c>
      <c r="D11" s="278">
        <f>F11</f>
        <v>0.25</v>
      </c>
      <c r="E11" s="278"/>
      <c r="F11" s="275">
        <f>'Valuation output'!M6</f>
        <v>0.25</v>
      </c>
      <c r="G11" s="304" t="s">
        <v>759</v>
      </c>
      <c r="H11" s="394"/>
      <c r="I11" s="395"/>
      <c r="J11" s="395"/>
      <c r="K11" s="396"/>
    </row>
    <row r="12" spans="1:11">
      <c r="A12" s="273" t="s">
        <v>643</v>
      </c>
      <c r="B12" s="276"/>
      <c r="C12" s="279" t="s">
        <v>647</v>
      </c>
      <c r="D12" s="280">
        <f>'Input sheet'!B27</f>
        <v>1.5013936987921277</v>
      </c>
      <c r="E12" s="281" t="s">
        <v>659</v>
      </c>
      <c r="F12" s="282">
        <f>'Valuation output'!M2/'Valuation output'!M40</f>
        <v>0.27066450567260941</v>
      </c>
      <c r="G12" s="304" t="s">
        <v>760</v>
      </c>
      <c r="H12" s="394"/>
      <c r="I12" s="395"/>
      <c r="J12" s="395"/>
      <c r="K12" s="396"/>
    </row>
    <row r="13" spans="1:11">
      <c r="A13" s="306" t="s">
        <v>657</v>
      </c>
      <c r="B13" s="310">
        <f>'Valuation output'!B40</f>
        <v>0.27746515753019685</v>
      </c>
      <c r="C13" s="313" t="s">
        <v>658</v>
      </c>
      <c r="D13" s="314">
        <f>Diagnostics!B6</f>
        <v>0.31132044027187322</v>
      </c>
      <c r="E13" s="307"/>
      <c r="F13" s="308">
        <f>'Valuation output'!M40</f>
        <v>6.1699999999999991E-2</v>
      </c>
      <c r="G13" s="309" t="s">
        <v>761</v>
      </c>
      <c r="H13" s="394"/>
      <c r="I13" s="395"/>
      <c r="J13" s="395"/>
      <c r="K13" s="396"/>
    </row>
    <row r="14" spans="1:11" ht="17" thickBot="1">
      <c r="A14" s="283" t="s">
        <v>644</v>
      </c>
      <c r="B14" s="311"/>
      <c r="C14" s="277">
        <f>'Valuation output'!C12</f>
        <v>7.5779316965438576E-2</v>
      </c>
      <c r="D14" s="278">
        <f>F14</f>
        <v>6.1699999999999998E-2</v>
      </c>
      <c r="E14" s="312"/>
      <c r="F14" s="284">
        <f>'Valuation output'!M12</f>
        <v>6.1699999999999998E-2</v>
      </c>
      <c r="G14" s="305" t="s">
        <v>762</v>
      </c>
      <c r="H14" s="397"/>
      <c r="I14" s="398"/>
      <c r="J14" s="398"/>
      <c r="K14" s="399"/>
    </row>
    <row r="15" spans="1:11" ht="17" thickBot="1">
      <c r="A15" s="424" t="s">
        <v>635</v>
      </c>
      <c r="B15" s="424"/>
      <c r="C15" s="424"/>
      <c r="D15" s="424"/>
      <c r="E15" s="424"/>
      <c r="F15" s="424"/>
      <c r="G15" s="424"/>
    </row>
    <row r="16" spans="1:11">
      <c r="A16" s="266"/>
      <c r="B16" s="270" t="s">
        <v>11</v>
      </c>
      <c r="C16" s="270" t="s">
        <v>634</v>
      </c>
      <c r="D16" s="270" t="s">
        <v>648</v>
      </c>
      <c r="E16" s="270" t="s">
        <v>636</v>
      </c>
      <c r="F16" s="270" t="s">
        <v>645</v>
      </c>
      <c r="G16" s="316" t="s">
        <v>16</v>
      </c>
      <c r="H16" s="400" t="s">
        <v>656</v>
      </c>
      <c r="I16" s="401"/>
      <c r="J16" s="401"/>
      <c r="K16" s="402"/>
    </row>
    <row r="17" spans="1:11">
      <c r="A17" s="285">
        <v>1</v>
      </c>
      <c r="B17" s="286">
        <f>'Valuation output'!C3</f>
        <v>15073.2</v>
      </c>
      <c r="C17" s="287">
        <f>'Valuation output'!C4</f>
        <v>0.24053164556962026</v>
      </c>
      <c r="D17" s="274">
        <f>B17*C17</f>
        <v>3625.5816000000004</v>
      </c>
      <c r="E17" s="286">
        <f>'Valuation output'!C7</f>
        <v>2755.4420160000004</v>
      </c>
      <c r="F17" s="286">
        <f>'Valuation output'!C8</f>
        <v>568.2720000000005</v>
      </c>
      <c r="G17" s="317">
        <f>E17-F17</f>
        <v>2187.170016</v>
      </c>
      <c r="H17" s="403"/>
      <c r="I17" s="404"/>
      <c r="J17" s="404"/>
      <c r="K17" s="405"/>
    </row>
    <row r="18" spans="1:11">
      <c r="A18" s="285">
        <v>2</v>
      </c>
      <c r="B18" s="286">
        <f>'Valuation output'!D3</f>
        <v>15977.592000000002</v>
      </c>
      <c r="C18" s="287">
        <f>'Valuation output'!D4</f>
        <v>0.23789873417721519</v>
      </c>
      <c r="D18" s="274">
        <f t="shared" ref="D18:D27" si="0">B18*C18</f>
        <v>3801.0489120000007</v>
      </c>
      <c r="E18" s="286">
        <f>'Valuation output'!D7</f>
        <v>2888.7971731200005</v>
      </c>
      <c r="F18" s="286">
        <f>'Valuation output'!D8</f>
        <v>602.36832000000106</v>
      </c>
      <c r="G18" s="317">
        <f t="shared" ref="G18:G27" si="1">E18-F18</f>
        <v>2286.4288531199995</v>
      </c>
      <c r="H18" s="403"/>
      <c r="I18" s="404"/>
      <c r="J18" s="404"/>
      <c r="K18" s="405"/>
    </row>
    <row r="19" spans="1:11">
      <c r="A19" s="285">
        <v>3</v>
      </c>
      <c r="B19" s="286">
        <f>'Valuation output'!E3</f>
        <v>16936.247520000004</v>
      </c>
      <c r="C19" s="287">
        <f>'Valuation output'!E4</f>
        <v>0.23526582278481015</v>
      </c>
      <c r="D19" s="274">
        <f t="shared" si="0"/>
        <v>3984.5202076800015</v>
      </c>
      <c r="E19" s="286">
        <f>'Valuation output'!E7</f>
        <v>3028.2353578368011</v>
      </c>
      <c r="F19" s="286">
        <f>'Valuation output'!E8</f>
        <v>638.51041920000137</v>
      </c>
      <c r="G19" s="317">
        <f t="shared" si="1"/>
        <v>2389.7249386367998</v>
      </c>
      <c r="H19" s="403"/>
      <c r="I19" s="404"/>
      <c r="J19" s="404"/>
      <c r="K19" s="405"/>
    </row>
    <row r="20" spans="1:11">
      <c r="A20" s="285">
        <v>4</v>
      </c>
      <c r="B20" s="286">
        <f>'Valuation output'!F3</f>
        <v>17952.422371200006</v>
      </c>
      <c r="C20" s="287">
        <f>'Valuation output'!F4</f>
        <v>0.23263291139240508</v>
      </c>
      <c r="D20" s="274">
        <f t="shared" si="0"/>
        <v>4176.3242827584018</v>
      </c>
      <c r="E20" s="286">
        <f>'Valuation output'!F7</f>
        <v>3174.0064548963855</v>
      </c>
      <c r="F20" s="286">
        <f>'Valuation output'!F8</f>
        <v>676.82104435200085</v>
      </c>
      <c r="G20" s="317">
        <f t="shared" si="1"/>
        <v>2497.1854105443845</v>
      </c>
      <c r="H20" s="403"/>
      <c r="I20" s="404"/>
      <c r="J20" s="404"/>
      <c r="K20" s="405"/>
    </row>
    <row r="21" spans="1:11">
      <c r="A21" s="285">
        <v>5</v>
      </c>
      <c r="B21" s="286">
        <f>'Valuation output'!G3</f>
        <v>19029.567713472006</v>
      </c>
      <c r="C21" s="287">
        <f>'Valuation output'!G4</f>
        <v>0.23</v>
      </c>
      <c r="D21" s="274">
        <f t="shared" si="0"/>
        <v>4376.8005740985618</v>
      </c>
      <c r="E21" s="286">
        <f>'Valuation output'!G7</f>
        <v>3326.3684363149068</v>
      </c>
      <c r="F21" s="286">
        <f>'Valuation output'!G8</f>
        <v>717.43030701312034</v>
      </c>
      <c r="G21" s="317">
        <f t="shared" si="1"/>
        <v>2608.9381293017864</v>
      </c>
      <c r="H21" s="403"/>
      <c r="I21" s="404"/>
      <c r="J21" s="404"/>
      <c r="K21" s="405"/>
    </row>
    <row r="22" spans="1:11">
      <c r="A22" s="285">
        <v>6</v>
      </c>
      <c r="B22" s="286">
        <f>'Valuation output'!H3</f>
        <v>20006.545719881658</v>
      </c>
      <c r="C22" s="287">
        <f>'Valuation output'!H4</f>
        <v>0.23</v>
      </c>
      <c r="D22" s="274">
        <f t="shared" si="0"/>
        <v>4601.5055155727814</v>
      </c>
      <c r="E22" s="286">
        <f>'Valuation output'!H7</f>
        <v>3487.9411808041687</v>
      </c>
      <c r="F22" s="286">
        <f>'Valuation output'!H8</f>
        <v>650.71407132961303</v>
      </c>
      <c r="G22" s="317">
        <f t="shared" si="1"/>
        <v>2837.2271094745556</v>
      </c>
      <c r="H22" s="403"/>
      <c r="I22" s="404"/>
      <c r="J22" s="404"/>
      <c r="K22" s="405"/>
    </row>
    <row r="23" spans="1:11">
      <c r="A23" s="285">
        <v>7</v>
      </c>
      <c r="B23" s="286">
        <f>'Valuation output'!I3</f>
        <v>20860.425091206209</v>
      </c>
      <c r="C23" s="287">
        <f>'Valuation output'!I4</f>
        <v>0.23</v>
      </c>
      <c r="D23" s="274">
        <f t="shared" si="0"/>
        <v>4797.8977709774281</v>
      </c>
      <c r="E23" s="286">
        <f>'Valuation output'!I7</f>
        <v>3627.2107148589357</v>
      </c>
      <c r="F23" s="286">
        <f>'Valuation output'!I8</f>
        <v>568.72449378966826</v>
      </c>
      <c r="G23" s="317">
        <f t="shared" si="1"/>
        <v>3058.4862210692672</v>
      </c>
      <c r="H23" s="403"/>
      <c r="I23" s="404"/>
      <c r="J23" s="404"/>
      <c r="K23" s="405"/>
    </row>
    <row r="24" spans="1:11">
      <c r="A24" s="285">
        <v>8</v>
      </c>
      <c r="B24" s="286">
        <f>'Valuation output'!J3</f>
        <v>21570.096752809044</v>
      </c>
      <c r="C24" s="287">
        <f>'Valuation output'!J4</f>
        <v>0.23</v>
      </c>
      <c r="D24" s="274">
        <f t="shared" si="0"/>
        <v>4961.1222531460808</v>
      </c>
      <c r="E24" s="286">
        <f>'Valuation output'!J7</f>
        <v>3740.6861788721449</v>
      </c>
      <c r="F24" s="286">
        <f>'Valuation output'!J8</f>
        <v>472.67526310638345</v>
      </c>
      <c r="G24" s="317">
        <f t="shared" si="1"/>
        <v>3268.0109157657616</v>
      </c>
      <c r="H24" s="403"/>
      <c r="I24" s="404"/>
      <c r="J24" s="404"/>
      <c r="K24" s="405"/>
    </row>
    <row r="25" spans="1:11">
      <c r="A25" s="285">
        <v>9</v>
      </c>
      <c r="B25" s="286">
        <f>'Valuation output'!K3</f>
        <v>22117.114406460281</v>
      </c>
      <c r="C25" s="287">
        <f>'Valuation output'!K4</f>
        <v>0.23</v>
      </c>
      <c r="D25" s="274">
        <f t="shared" si="0"/>
        <v>5086.936313485865</v>
      </c>
      <c r="E25" s="286">
        <f>'Valuation output'!K7</f>
        <v>3825.3761077413706</v>
      </c>
      <c r="F25" s="286">
        <f>'Valuation output'!K8</f>
        <v>364.33991570053428</v>
      </c>
      <c r="G25" s="317">
        <f t="shared" si="1"/>
        <v>3461.0361920408363</v>
      </c>
      <c r="H25" s="403"/>
      <c r="I25" s="404"/>
      <c r="J25" s="404"/>
      <c r="K25" s="405"/>
    </row>
    <row r="26" spans="1:11">
      <c r="A26" s="285">
        <v>10</v>
      </c>
      <c r="B26" s="286">
        <f>'Valuation output'!L3</f>
        <v>22486.470217048165</v>
      </c>
      <c r="C26" s="287">
        <f>'Valuation output'!L4</f>
        <v>0.23</v>
      </c>
      <c r="D26" s="274">
        <f t="shared" si="0"/>
        <v>5171.8881499210784</v>
      </c>
      <c r="E26" s="286">
        <f>'Valuation output'!L7</f>
        <v>3878.9161124408088</v>
      </c>
      <c r="F26" s="286">
        <f>'Valuation output'!L8</f>
        <v>246.00863243600313</v>
      </c>
      <c r="G26" s="317">
        <f t="shared" si="1"/>
        <v>3632.9074800048056</v>
      </c>
      <c r="H26" s="403"/>
      <c r="I26" s="404"/>
      <c r="J26" s="404"/>
      <c r="K26" s="405"/>
    </row>
    <row r="27" spans="1:11" ht="17" thickBot="1">
      <c r="A27" s="288" t="s">
        <v>45</v>
      </c>
      <c r="B27" s="289">
        <f>'Valuation output'!M3</f>
        <v>22861.994269672869</v>
      </c>
      <c r="C27" s="290">
        <f>'Valuation output'!M4</f>
        <v>0.23</v>
      </c>
      <c r="D27" s="274">
        <f t="shared" si="0"/>
        <v>5258.2586820247598</v>
      </c>
      <c r="E27" s="289">
        <f>'Valuation output'!M7</f>
        <v>3943.6940115185698</v>
      </c>
      <c r="F27" s="289">
        <f>'Valuation output'!M8</f>
        <v>1067.4179901517036</v>
      </c>
      <c r="G27" s="317">
        <f t="shared" si="1"/>
        <v>2876.2760213668662</v>
      </c>
      <c r="H27" s="406"/>
      <c r="I27" s="407"/>
      <c r="J27" s="407"/>
      <c r="K27" s="408"/>
    </row>
    <row r="28" spans="1:11" ht="17" thickBot="1">
      <c r="A28" s="425" t="s">
        <v>637</v>
      </c>
      <c r="B28" s="425"/>
      <c r="C28" s="425"/>
      <c r="D28" s="425"/>
      <c r="E28" s="425"/>
      <c r="F28" s="425"/>
      <c r="G28" s="425"/>
    </row>
    <row r="29" spans="1:11">
      <c r="A29" s="370" t="s">
        <v>638</v>
      </c>
      <c r="B29" s="371"/>
      <c r="C29" s="372"/>
      <c r="D29" s="291">
        <f>'Valuation output'!B18</f>
        <v>63917.244919263692</v>
      </c>
      <c r="E29" s="292"/>
      <c r="F29" s="293"/>
      <c r="G29" s="294"/>
      <c r="H29" s="409" t="s">
        <v>660</v>
      </c>
      <c r="I29" s="410"/>
      <c r="J29" s="410"/>
      <c r="K29" s="410"/>
    </row>
    <row r="30" spans="1:11">
      <c r="A30" s="367" t="s">
        <v>639</v>
      </c>
      <c r="B30" s="368"/>
      <c r="C30" s="369"/>
      <c r="D30" s="295">
        <f>'Valuation output'!B19</f>
        <v>32027.284234955259</v>
      </c>
      <c r="E30" s="296"/>
      <c r="F30" s="297"/>
      <c r="G30" s="298"/>
      <c r="H30" s="409"/>
      <c r="I30" s="410"/>
      <c r="J30" s="410"/>
      <c r="K30" s="410"/>
    </row>
    <row r="31" spans="1:11">
      <c r="A31" s="367" t="s">
        <v>46</v>
      </c>
      <c r="B31" s="368"/>
      <c r="C31" s="369"/>
      <c r="D31" s="295">
        <f>'Valuation output'!B20</f>
        <v>18799.63450307637</v>
      </c>
      <c r="E31" s="296"/>
      <c r="F31" s="297"/>
      <c r="G31" s="298"/>
      <c r="H31" s="409"/>
      <c r="I31" s="410"/>
      <c r="J31" s="410"/>
      <c r="K31" s="410"/>
    </row>
    <row r="32" spans="1:11">
      <c r="A32" s="367" t="s">
        <v>44</v>
      </c>
      <c r="B32" s="368"/>
      <c r="C32" s="369"/>
      <c r="D32" s="295">
        <f>'Valuation output'!B21</f>
        <v>50826.918738031629</v>
      </c>
      <c r="E32" s="296"/>
      <c r="F32" s="297"/>
      <c r="G32" s="298"/>
      <c r="H32" s="409"/>
      <c r="I32" s="410"/>
      <c r="J32" s="410"/>
      <c r="K32" s="410"/>
    </row>
    <row r="33" spans="1:11">
      <c r="A33" s="367" t="s">
        <v>649</v>
      </c>
      <c r="B33" s="368"/>
      <c r="C33" s="369"/>
      <c r="D33" s="318">
        <f>D32-'Valuation output'!B24</f>
        <v>0</v>
      </c>
      <c r="E33" s="411" t="s">
        <v>112</v>
      </c>
      <c r="F33" s="412"/>
      <c r="G33" s="319">
        <f>'Valuation output'!B22</f>
        <v>0</v>
      </c>
      <c r="H33" s="395"/>
      <c r="I33" s="410"/>
      <c r="J33" s="410"/>
      <c r="K33" s="410"/>
    </row>
    <row r="34" spans="1:11">
      <c r="A34" s="367" t="s">
        <v>650</v>
      </c>
      <c r="B34" s="368"/>
      <c r="C34" s="369"/>
      <c r="D34" s="295">
        <f>'Valuation output'!B25+'Valuation output'!B26</f>
        <v>7926</v>
      </c>
      <c r="E34" s="296"/>
      <c r="F34" s="297"/>
      <c r="G34" s="298"/>
      <c r="H34" s="409"/>
      <c r="I34" s="410"/>
      <c r="J34" s="410"/>
      <c r="K34" s="410"/>
    </row>
    <row r="35" spans="1:11">
      <c r="A35" s="367" t="s">
        <v>651</v>
      </c>
      <c r="B35" s="368"/>
      <c r="C35" s="369"/>
      <c r="D35" s="295">
        <f>'Valuation output'!B27+'Valuation output'!B28</f>
        <v>1825</v>
      </c>
      <c r="E35" s="296"/>
      <c r="F35" s="297"/>
      <c r="G35" s="298"/>
      <c r="H35" s="409"/>
      <c r="I35" s="410"/>
      <c r="J35" s="410"/>
      <c r="K35" s="410"/>
    </row>
    <row r="36" spans="1:11">
      <c r="A36" s="367" t="s">
        <v>54</v>
      </c>
      <c r="B36" s="368"/>
      <c r="C36" s="369"/>
      <c r="D36" s="295">
        <f>D32-D33-D34+D35</f>
        <v>44725.918738031629</v>
      </c>
      <c r="E36" s="296"/>
      <c r="F36" s="297"/>
      <c r="G36" s="298"/>
      <c r="H36" s="409"/>
      <c r="I36" s="410"/>
      <c r="J36" s="410"/>
      <c r="K36" s="410"/>
    </row>
    <row r="37" spans="1:11">
      <c r="A37" s="367" t="s">
        <v>652</v>
      </c>
      <c r="B37" s="368"/>
      <c r="C37" s="369"/>
      <c r="D37" s="295">
        <f>'Valuation output'!B30</f>
        <v>0</v>
      </c>
      <c r="E37" s="296"/>
      <c r="F37" s="297"/>
      <c r="G37" s="298"/>
      <c r="H37" s="409"/>
      <c r="I37" s="410"/>
      <c r="J37" s="410"/>
      <c r="K37" s="410"/>
    </row>
    <row r="38" spans="1:11" ht="17" thickBot="1">
      <c r="A38" s="413" t="s">
        <v>646</v>
      </c>
      <c r="B38" s="414"/>
      <c r="C38" s="414"/>
      <c r="D38" s="303">
        <f>'Valuation output'!B32</f>
        <v>321.41000000000003</v>
      </c>
      <c r="E38" s="297"/>
      <c r="F38" s="300"/>
      <c r="G38" s="298"/>
      <c r="H38" s="409"/>
      <c r="I38" s="410"/>
      <c r="J38" s="410"/>
      <c r="K38" s="410"/>
    </row>
    <row r="39" spans="1:11" ht="17" thickBot="1">
      <c r="A39" s="415" t="s">
        <v>623</v>
      </c>
      <c r="B39" s="416"/>
      <c r="C39" s="416"/>
      <c r="D39" s="271">
        <f>(D36-D37)/D38</f>
        <v>139.15534282701728</v>
      </c>
      <c r="E39" s="417" t="s">
        <v>653</v>
      </c>
      <c r="F39" s="418"/>
      <c r="G39" s="315">
        <f>'Input sheet'!B20</f>
        <v>179.82</v>
      </c>
      <c r="H39" s="409"/>
      <c r="I39" s="410"/>
      <c r="J39" s="410"/>
      <c r="K39" s="410"/>
    </row>
  </sheetData>
  <mergeCells count="23">
    <mergeCell ref="A36:C36"/>
    <mergeCell ref="A1:G1"/>
    <mergeCell ref="A2:G2"/>
    <mergeCell ref="A7:G7"/>
    <mergeCell ref="A15:G15"/>
    <mergeCell ref="A28:G28"/>
    <mergeCell ref="A30:C30"/>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97</v>
      </c>
      <c r="B1" s="147"/>
    </row>
    <row r="2" spans="1:4" s="144" customFormat="1" ht="13">
      <c r="A2" s="147" t="s">
        <v>7</v>
      </c>
      <c r="B2" s="148">
        <f>'Valuation output'!B39</f>
        <v>9471.2000000000007</v>
      </c>
    </row>
    <row r="3" spans="1:4" s="144" customFormat="1" ht="13">
      <c r="A3" s="147" t="s">
        <v>8</v>
      </c>
      <c r="B3" s="148">
        <f>'Valuation output'!L39</f>
        <v>14977.064466927328</v>
      </c>
    </row>
    <row r="4" spans="1:4" s="144" customFormat="1" ht="13">
      <c r="A4" s="147" t="s">
        <v>9</v>
      </c>
      <c r="B4" s="148">
        <f>B3-B2</f>
        <v>5505.8644669273272</v>
      </c>
    </row>
    <row r="5" spans="1:4" s="144" customFormat="1" ht="13">
      <c r="A5" s="147" t="s">
        <v>10</v>
      </c>
      <c r="B5" s="148">
        <f>'Valuation output'!L5-'Valuation output'!B5</f>
        <v>1714.0881499210782</v>
      </c>
    </row>
    <row r="6" spans="1:4" s="144" customFormat="1" ht="13">
      <c r="A6" s="147" t="s">
        <v>4</v>
      </c>
      <c r="B6" s="149">
        <f>B5/B4</f>
        <v>0.31132044027187322</v>
      </c>
    </row>
    <row r="7" spans="1:4" s="144" customFormat="1" ht="13">
      <c r="A7" s="147" t="s">
        <v>5</v>
      </c>
      <c r="B7" s="149">
        <f>'Valuation output'!L40</f>
        <v>0.258990413041642</v>
      </c>
    </row>
    <row r="8" spans="1:4" s="144" customFormat="1" ht="13">
      <c r="A8" s="147" t="s">
        <v>240</v>
      </c>
      <c r="B8" s="149">
        <f>(1/'Valuation output'!L13)^(1/10)-1</f>
        <v>7.1543468137425847E-2</v>
      </c>
    </row>
    <row r="9" spans="1:4" s="144" customFormat="1" ht="14" thickBot="1">
      <c r="A9" s="150" t="s">
        <v>28</v>
      </c>
      <c r="B9" s="151">
        <f>'Valuation output'!B33/'Valuation output'!B34</f>
        <v>0.77385909702489875</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154</v>
      </c>
      <c r="B12" s="214" t="s">
        <v>2</v>
      </c>
      <c r="C12" s="215" t="s">
        <v>3</v>
      </c>
    </row>
    <row r="13" spans="1:4" s="8" customFormat="1" ht="15">
      <c r="A13" s="222" t="s">
        <v>155</v>
      </c>
      <c r="B13" s="216" t="s">
        <v>152</v>
      </c>
      <c r="C13" s="217" t="s">
        <v>153</v>
      </c>
      <c r="D13" s="8" t="s">
        <v>159</v>
      </c>
    </row>
    <row r="14" spans="1:4" s="8" customFormat="1" ht="14">
      <c r="A14" s="223" t="s">
        <v>156</v>
      </c>
      <c r="B14" s="218" t="s">
        <v>150</v>
      </c>
      <c r="C14" s="219" t="s">
        <v>151</v>
      </c>
      <c r="D14" s="8" t="s">
        <v>159</v>
      </c>
    </row>
    <row r="15" spans="1:4" s="8" customFormat="1" ht="15" thickBot="1">
      <c r="A15" s="224" t="s">
        <v>161</v>
      </c>
      <c r="B15" s="220" t="s">
        <v>157</v>
      </c>
      <c r="C15" s="221" t="s">
        <v>158</v>
      </c>
      <c r="D15" s="8" t="s">
        <v>160</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120</v>
      </c>
      <c r="B1" s="328" t="s">
        <v>11</v>
      </c>
      <c r="C1" s="328" t="s">
        <v>666</v>
      </c>
      <c r="D1" s="328" t="s">
        <v>682</v>
      </c>
      <c r="E1" s="328" t="s">
        <v>667</v>
      </c>
      <c r="F1" s="328" t="s">
        <v>48</v>
      </c>
      <c r="G1" s="328" t="s">
        <v>668</v>
      </c>
      <c r="H1" s="328" t="s">
        <v>669</v>
      </c>
    </row>
    <row r="2" spans="1:8" s="329" customFormat="1">
      <c r="A2" s="329" t="s">
        <v>681</v>
      </c>
      <c r="B2" s="330">
        <f>'Valuation output'!B3</f>
        <v>14220</v>
      </c>
      <c r="D2" s="331">
        <f>'Valuation output'!B4</f>
        <v>0.24316455696202532</v>
      </c>
      <c r="E2" s="330">
        <f>B2*D2</f>
        <v>3457.8</v>
      </c>
      <c r="F2" s="330">
        <f>'Valuation output'!B10</f>
        <v>0</v>
      </c>
      <c r="G2" s="330">
        <f>E2-H2</f>
        <v>829.87199999999984</v>
      </c>
      <c r="H2" s="330">
        <f>'Valuation output'!B7</f>
        <v>2627.9280000000003</v>
      </c>
    </row>
    <row r="3" spans="1:8" s="329" customFormat="1">
      <c r="A3" s="329">
        <v>1</v>
      </c>
      <c r="B3" s="330">
        <f>'Valuation output'!C3</f>
        <v>15073.2</v>
      </c>
      <c r="C3" s="331">
        <f>'Valuation output'!C2</f>
        <v>0.06</v>
      </c>
      <c r="D3" s="331">
        <f>'Valuation output'!C4</f>
        <v>0.24053164556962026</v>
      </c>
      <c r="E3" s="330">
        <f>B3*D3</f>
        <v>3625.5816000000004</v>
      </c>
      <c r="F3" s="330">
        <f>'Valuation output'!C10</f>
        <v>0</v>
      </c>
      <c r="G3" s="330">
        <f t="shared" ref="G3:G12" si="0">E3-H3</f>
        <v>870.13958400000001</v>
      </c>
      <c r="H3" s="330">
        <f>'Valuation output'!C7</f>
        <v>2755.4420160000004</v>
      </c>
    </row>
    <row r="4" spans="1:8" s="329" customFormat="1">
      <c r="A4" s="329">
        <v>2</v>
      </c>
      <c r="B4" s="333">
        <f>'Valuation output'!D3</f>
        <v>15977.592000000002</v>
      </c>
      <c r="C4" s="331">
        <f>B4/B3-1</f>
        <v>6.0000000000000053E-2</v>
      </c>
      <c r="D4" s="331">
        <f>'Valuation output'!D4</f>
        <v>0.23789873417721519</v>
      </c>
      <c r="E4" s="330">
        <f t="shared" ref="E4:E12" si="1">B4*D4</f>
        <v>3801.0489120000007</v>
      </c>
      <c r="F4" s="330">
        <f>'Valuation output'!D10</f>
        <v>0</v>
      </c>
      <c r="G4" s="330">
        <f t="shared" si="0"/>
        <v>912.25173888000018</v>
      </c>
      <c r="H4" s="330">
        <f>'Valuation output'!D7</f>
        <v>2888.7971731200005</v>
      </c>
    </row>
    <row r="5" spans="1:8" s="329" customFormat="1">
      <c r="A5" s="329">
        <v>3</v>
      </c>
      <c r="B5" s="330">
        <f>'Valuation output'!E3</f>
        <v>16936.247520000004</v>
      </c>
      <c r="C5" s="331">
        <f t="shared" ref="C5:C12" si="2">B5/B4-1</f>
        <v>6.0000000000000053E-2</v>
      </c>
      <c r="D5" s="331">
        <f>'Valuation output'!E4</f>
        <v>0.23526582278481015</v>
      </c>
      <c r="E5" s="330">
        <f t="shared" si="1"/>
        <v>3984.5202076800015</v>
      </c>
      <c r="F5" s="330">
        <f>'Valuation output'!E10</f>
        <v>0</v>
      </c>
      <c r="G5" s="330">
        <f t="shared" si="0"/>
        <v>956.28484984320039</v>
      </c>
      <c r="H5" s="330">
        <f>'Valuation output'!E7</f>
        <v>3028.2353578368011</v>
      </c>
    </row>
    <row r="6" spans="1:8" s="329" customFormat="1">
      <c r="A6" s="329">
        <v>4</v>
      </c>
      <c r="B6" s="330">
        <f>'Valuation output'!F3</f>
        <v>17952.422371200006</v>
      </c>
      <c r="C6" s="331">
        <f t="shared" si="2"/>
        <v>6.0000000000000053E-2</v>
      </c>
      <c r="D6" s="331">
        <f>'Valuation output'!F4</f>
        <v>0.23263291139240508</v>
      </c>
      <c r="E6" s="330">
        <f t="shared" si="1"/>
        <v>4176.3242827584018</v>
      </c>
      <c r="F6" s="330">
        <f>'Valuation output'!F10</f>
        <v>0</v>
      </c>
      <c r="G6" s="330">
        <f t="shared" si="0"/>
        <v>1002.3178278620162</v>
      </c>
      <c r="H6" s="330">
        <f>'Valuation output'!F7</f>
        <v>3174.0064548963855</v>
      </c>
    </row>
    <row r="7" spans="1:8" s="329" customFormat="1">
      <c r="A7" s="329">
        <v>5</v>
      </c>
      <c r="B7" s="330">
        <f>'Valuation output'!G3</f>
        <v>19029.567713472006</v>
      </c>
      <c r="C7" s="331">
        <f t="shared" si="2"/>
        <v>6.0000000000000053E-2</v>
      </c>
      <c r="D7" s="331">
        <f>'Valuation output'!G4</f>
        <v>0.23</v>
      </c>
      <c r="E7" s="330">
        <f t="shared" si="1"/>
        <v>4376.8005740985618</v>
      </c>
      <c r="F7" s="330">
        <f>'Valuation output'!G10</f>
        <v>0</v>
      </c>
      <c r="G7" s="330">
        <f t="shared" si="0"/>
        <v>1050.432137783655</v>
      </c>
      <c r="H7" s="330">
        <f>'Valuation output'!G7</f>
        <v>3326.3684363149068</v>
      </c>
    </row>
    <row r="8" spans="1:8" s="329" customFormat="1">
      <c r="A8" s="329">
        <v>6</v>
      </c>
      <c r="B8" s="330">
        <f>'Valuation output'!H3</f>
        <v>20006.545719881658</v>
      </c>
      <c r="C8" s="331">
        <f t="shared" si="2"/>
        <v>5.1339999999999941E-2</v>
      </c>
      <c r="D8" s="331">
        <f>'Valuation output'!H4</f>
        <v>0.23</v>
      </c>
      <c r="E8" s="330">
        <f t="shared" si="1"/>
        <v>4601.5055155727814</v>
      </c>
      <c r="F8" s="330">
        <f>'Valuation output'!H10</f>
        <v>0</v>
      </c>
      <c r="G8" s="330">
        <f t="shared" si="0"/>
        <v>1113.5643347686128</v>
      </c>
      <c r="H8" s="330">
        <f>'Valuation output'!H7</f>
        <v>3487.9411808041687</v>
      </c>
    </row>
    <row r="9" spans="1:8" s="329" customFormat="1">
      <c r="A9" s="329">
        <v>7</v>
      </c>
      <c r="B9" s="330">
        <f>'Valuation output'!I3</f>
        <v>20860.425091206209</v>
      </c>
      <c r="C9" s="331">
        <f t="shared" si="2"/>
        <v>4.2680000000000051E-2</v>
      </c>
      <c r="D9" s="331">
        <f>'Valuation output'!I4</f>
        <v>0.23</v>
      </c>
      <c r="E9" s="330">
        <f t="shared" si="1"/>
        <v>4797.8977709774281</v>
      </c>
      <c r="F9" s="330">
        <f>'Valuation output'!I10</f>
        <v>0</v>
      </c>
      <c r="G9" s="330">
        <f t="shared" si="0"/>
        <v>1170.6870561184924</v>
      </c>
      <c r="H9" s="330">
        <f>'Valuation output'!I7</f>
        <v>3627.2107148589357</v>
      </c>
    </row>
    <row r="10" spans="1:8" s="329" customFormat="1">
      <c r="A10" s="329">
        <v>8</v>
      </c>
      <c r="B10" s="330">
        <f>'Valuation output'!J3</f>
        <v>21570.096752809044</v>
      </c>
      <c r="C10" s="331">
        <f t="shared" si="2"/>
        <v>3.4019999999999939E-2</v>
      </c>
      <c r="D10" s="331">
        <f>'Valuation output'!J4</f>
        <v>0.23</v>
      </c>
      <c r="E10" s="330">
        <f t="shared" si="1"/>
        <v>4961.1222531460808</v>
      </c>
      <c r="F10" s="330">
        <f>'Valuation output'!J10</f>
        <v>0</v>
      </c>
      <c r="G10" s="330">
        <f t="shared" si="0"/>
        <v>1220.4360742739359</v>
      </c>
      <c r="H10" s="330">
        <f>'Valuation output'!J7</f>
        <v>3740.6861788721449</v>
      </c>
    </row>
    <row r="11" spans="1:8" s="329" customFormat="1">
      <c r="A11" s="329">
        <v>9</v>
      </c>
      <c r="B11" s="330">
        <f>'Valuation output'!K3</f>
        <v>22117.114406460281</v>
      </c>
      <c r="C11" s="331">
        <f t="shared" si="2"/>
        <v>2.5360000000000049E-2</v>
      </c>
      <c r="D11" s="331">
        <f>'Valuation output'!K4</f>
        <v>0.23</v>
      </c>
      <c r="E11" s="330">
        <f t="shared" si="1"/>
        <v>5086.936313485865</v>
      </c>
      <c r="F11" s="330">
        <f>'Valuation output'!K10</f>
        <v>0</v>
      </c>
      <c r="G11" s="330">
        <f t="shared" si="0"/>
        <v>1261.5602057444944</v>
      </c>
      <c r="H11" s="330">
        <f>'Valuation output'!K7</f>
        <v>3825.3761077413706</v>
      </c>
    </row>
    <row r="12" spans="1:8" s="329" customFormat="1">
      <c r="A12" s="329">
        <v>10</v>
      </c>
      <c r="B12" s="330">
        <f>'Valuation output'!L3</f>
        <v>22486.470217048165</v>
      </c>
      <c r="C12" s="331">
        <f t="shared" si="2"/>
        <v>1.6699999999999937E-2</v>
      </c>
      <c r="D12" s="331">
        <f>'Valuation output'!L4</f>
        <v>0.23</v>
      </c>
      <c r="E12" s="330">
        <f t="shared" si="1"/>
        <v>5171.8881499210784</v>
      </c>
      <c r="F12" s="330">
        <f>'Valuation output'!L10</f>
        <v>0</v>
      </c>
      <c r="G12" s="330">
        <f t="shared" si="0"/>
        <v>1292.9720374802696</v>
      </c>
      <c r="H12" s="330">
        <f>'Valuation output'!L7</f>
        <v>3878.9161124408088</v>
      </c>
    </row>
    <row r="13" spans="1:8" s="329" customFormat="1" ht="13" thickBot="1"/>
    <row r="14" spans="1:8" s="329" customFormat="1" ht="46" thickBot="1">
      <c r="A14" s="328" t="s">
        <v>120</v>
      </c>
      <c r="B14" s="328" t="s">
        <v>669</v>
      </c>
      <c r="C14" s="328" t="s">
        <v>670</v>
      </c>
      <c r="D14" s="328" t="s">
        <v>671</v>
      </c>
      <c r="E14" s="328" t="s">
        <v>672</v>
      </c>
      <c r="F14" s="328" t="s">
        <v>16</v>
      </c>
      <c r="G14" s="328" t="s">
        <v>673</v>
      </c>
      <c r="H14" s="328" t="s">
        <v>674</v>
      </c>
    </row>
    <row r="15" spans="1:8" s="329" customFormat="1">
      <c r="A15" s="329" t="str">
        <f>A2</f>
        <v>Traling 12 month</v>
      </c>
      <c r="B15" s="330">
        <f>H2</f>
        <v>2627.9280000000003</v>
      </c>
      <c r="G15" s="335">
        <f>'Valuation output'!B39</f>
        <v>9471.2000000000007</v>
      </c>
      <c r="H15" s="336">
        <f>B15/G15</f>
        <v>0.27746515753019685</v>
      </c>
    </row>
    <row r="16" spans="1:8" s="329" customFormat="1">
      <c r="A16" s="329">
        <f t="shared" ref="A16:A24" si="3">A3</f>
        <v>1</v>
      </c>
      <c r="B16" s="330">
        <f t="shared" ref="B16:B25" si="4">H3</f>
        <v>2755.4420160000004</v>
      </c>
      <c r="C16" s="330">
        <f>B3-B2</f>
        <v>853.20000000000073</v>
      </c>
      <c r="D16" s="334">
        <f>'Valuation output'!C38</f>
        <v>1.5013936987921277</v>
      </c>
      <c r="E16" s="330">
        <f>C16/D16</f>
        <v>568.2720000000005</v>
      </c>
      <c r="F16" s="330">
        <f>B16-E16</f>
        <v>2187.170016</v>
      </c>
      <c r="G16" s="330">
        <f>G15+E16</f>
        <v>10039.472000000002</v>
      </c>
      <c r="H16" s="336">
        <f t="shared" ref="H16:H25" si="5">B16/G16</f>
        <v>0.27446084973393026</v>
      </c>
    </row>
    <row r="17" spans="1:8" s="329" customFormat="1">
      <c r="A17" s="329">
        <f t="shared" si="3"/>
        <v>2</v>
      </c>
      <c r="B17" s="330">
        <f t="shared" si="4"/>
        <v>2888.7971731200005</v>
      </c>
      <c r="C17" s="330">
        <f t="shared" ref="C17:C25" si="6">B4-B3</f>
        <v>904.39200000000164</v>
      </c>
      <c r="D17" s="334">
        <f>'Valuation output'!D38</f>
        <v>1.5013936987921277</v>
      </c>
      <c r="E17" s="330">
        <f t="shared" ref="E17:E25" si="7">C17/D17</f>
        <v>602.36832000000106</v>
      </c>
      <c r="F17" s="330">
        <f t="shared" ref="F17:F25" si="8">B17-E17</f>
        <v>2286.4288531199995</v>
      </c>
      <c r="G17" s="330">
        <f t="shared" ref="G17:G25" si="9">G16+E17</f>
        <v>10641.840320000003</v>
      </c>
      <c r="H17" s="336">
        <f t="shared" si="5"/>
        <v>0.27145654193766361</v>
      </c>
    </row>
    <row r="18" spans="1:8" s="329" customFormat="1">
      <c r="A18" s="329">
        <f t="shared" si="3"/>
        <v>3</v>
      </c>
      <c r="B18" s="330">
        <f t="shared" si="4"/>
        <v>3028.2353578368011</v>
      </c>
      <c r="C18" s="330">
        <f t="shared" si="6"/>
        <v>958.65552000000207</v>
      </c>
      <c r="D18" s="334">
        <f>'Valuation output'!E38</f>
        <v>1.5013936987921277</v>
      </c>
      <c r="E18" s="330">
        <f t="shared" si="7"/>
        <v>638.51041920000137</v>
      </c>
      <c r="F18" s="330">
        <f t="shared" si="8"/>
        <v>2389.7249386367998</v>
      </c>
      <c r="G18" s="330">
        <f t="shared" si="9"/>
        <v>11280.350739200005</v>
      </c>
      <c r="H18" s="336">
        <f t="shared" si="5"/>
        <v>0.26845223414139707</v>
      </c>
    </row>
    <row r="19" spans="1:8" s="329" customFormat="1">
      <c r="A19" s="329">
        <f t="shared" si="3"/>
        <v>4</v>
      </c>
      <c r="B19" s="330">
        <f t="shared" si="4"/>
        <v>3174.0064548963855</v>
      </c>
      <c r="C19" s="330">
        <f t="shared" si="6"/>
        <v>1016.1748512000013</v>
      </c>
      <c r="D19" s="334">
        <f>'Valuation output'!F38</f>
        <v>1.5013936987921277</v>
      </c>
      <c r="E19" s="330">
        <f t="shared" si="7"/>
        <v>676.82104435200085</v>
      </c>
      <c r="F19" s="330">
        <f t="shared" si="8"/>
        <v>2497.1854105443845</v>
      </c>
      <c r="G19" s="330">
        <f t="shared" si="9"/>
        <v>11957.171783552005</v>
      </c>
      <c r="H19" s="336">
        <f t="shared" si="5"/>
        <v>0.26544792634513054</v>
      </c>
    </row>
    <row r="20" spans="1:8" s="329" customFormat="1">
      <c r="A20" s="329">
        <f t="shared" si="3"/>
        <v>5</v>
      </c>
      <c r="B20" s="330">
        <f t="shared" si="4"/>
        <v>3326.3684363149068</v>
      </c>
      <c r="C20" s="330">
        <f t="shared" si="6"/>
        <v>1077.1453422720006</v>
      </c>
      <c r="D20" s="334">
        <f>'Valuation output'!G38</f>
        <v>1.5013936987921277</v>
      </c>
      <c r="E20" s="330">
        <f t="shared" si="7"/>
        <v>717.43030701312034</v>
      </c>
      <c r="F20" s="330">
        <f t="shared" si="8"/>
        <v>2608.9381293017864</v>
      </c>
      <c r="G20" s="330">
        <f t="shared" si="9"/>
        <v>12674.602090565126</v>
      </c>
      <c r="H20" s="336">
        <f t="shared" si="5"/>
        <v>0.26244361854886389</v>
      </c>
    </row>
    <row r="21" spans="1:8" s="329" customFormat="1">
      <c r="A21" s="329">
        <f t="shared" si="3"/>
        <v>6</v>
      </c>
      <c r="B21" s="330">
        <f t="shared" si="4"/>
        <v>3487.9411808041687</v>
      </c>
      <c r="C21" s="330">
        <f t="shared" si="6"/>
        <v>976.97800640965215</v>
      </c>
      <c r="D21" s="334">
        <f>'Valuation output'!H38</f>
        <v>1.5013936987921277</v>
      </c>
      <c r="E21" s="330">
        <f t="shared" si="7"/>
        <v>650.71407132961303</v>
      </c>
      <c r="F21" s="330">
        <f t="shared" si="8"/>
        <v>2837.2271094745556</v>
      </c>
      <c r="G21" s="330">
        <f t="shared" si="9"/>
        <v>13325.316161894738</v>
      </c>
      <c r="H21" s="336">
        <f t="shared" si="5"/>
        <v>0.26175297744741954</v>
      </c>
    </row>
    <row r="22" spans="1:8" s="329" customFormat="1">
      <c r="A22" s="329">
        <f t="shared" si="3"/>
        <v>7</v>
      </c>
      <c r="B22" s="330">
        <f t="shared" si="4"/>
        <v>3627.2107148589357</v>
      </c>
      <c r="C22" s="330">
        <f t="shared" si="6"/>
        <v>853.87937132455045</v>
      </c>
      <c r="D22" s="334">
        <f>'Valuation output'!I38</f>
        <v>1.5013936987921277</v>
      </c>
      <c r="E22" s="330">
        <f t="shared" si="7"/>
        <v>568.72449378966826</v>
      </c>
      <c r="F22" s="330">
        <f t="shared" si="8"/>
        <v>3058.4862210692672</v>
      </c>
      <c r="G22" s="330">
        <f t="shared" si="9"/>
        <v>13894.040655684406</v>
      </c>
      <c r="H22" s="336">
        <f t="shared" si="5"/>
        <v>0.26106233634597514</v>
      </c>
    </row>
    <row r="23" spans="1:8" s="329" customFormat="1">
      <c r="A23" s="329">
        <f t="shared" si="3"/>
        <v>8</v>
      </c>
      <c r="B23" s="330">
        <f t="shared" si="4"/>
        <v>3740.6861788721449</v>
      </c>
      <c r="C23" s="330">
        <f t="shared" si="6"/>
        <v>709.67166160283523</v>
      </c>
      <c r="D23" s="334">
        <f>'Valuation output'!J38</f>
        <v>1.5013936987921277</v>
      </c>
      <c r="E23" s="330">
        <f t="shared" si="7"/>
        <v>472.67526310638345</v>
      </c>
      <c r="F23" s="330">
        <f t="shared" si="8"/>
        <v>3268.0109157657616</v>
      </c>
      <c r="G23" s="330">
        <f t="shared" si="9"/>
        <v>14366.715918790789</v>
      </c>
      <c r="H23" s="336">
        <f t="shared" si="5"/>
        <v>0.2603716952445308</v>
      </c>
    </row>
    <row r="24" spans="1:8" s="329" customFormat="1">
      <c r="A24" s="329">
        <f t="shared" si="3"/>
        <v>9</v>
      </c>
      <c r="B24" s="330">
        <f t="shared" si="4"/>
        <v>3825.3761077413706</v>
      </c>
      <c r="C24" s="330">
        <f t="shared" si="6"/>
        <v>547.0176536512372</v>
      </c>
      <c r="D24" s="334">
        <f>'Valuation output'!K38</f>
        <v>1.5013936987921277</v>
      </c>
      <c r="E24" s="330">
        <f t="shared" si="7"/>
        <v>364.33991570053428</v>
      </c>
      <c r="F24" s="330">
        <f t="shared" si="8"/>
        <v>3461.0361920408363</v>
      </c>
      <c r="G24" s="330">
        <f t="shared" si="9"/>
        <v>14731.055834491324</v>
      </c>
      <c r="H24" s="336">
        <f t="shared" si="5"/>
        <v>0.2596810541430864</v>
      </c>
    </row>
    <row r="25" spans="1:8" s="329" customFormat="1">
      <c r="A25" s="329">
        <f>A12</f>
        <v>10</v>
      </c>
      <c r="B25" s="330">
        <f t="shared" si="4"/>
        <v>3878.9161124408088</v>
      </c>
      <c r="C25" s="330">
        <f t="shared" si="6"/>
        <v>369.35581058788375</v>
      </c>
      <c r="D25" s="334">
        <f>'Valuation output'!L38</f>
        <v>1.5013936987921277</v>
      </c>
      <c r="E25" s="330">
        <f t="shared" si="7"/>
        <v>246.00863243600313</v>
      </c>
      <c r="F25" s="330">
        <f t="shared" si="8"/>
        <v>3632.9074800048056</v>
      </c>
      <c r="G25" s="330">
        <f t="shared" si="9"/>
        <v>14977.064466927328</v>
      </c>
      <c r="H25" s="336">
        <f t="shared" si="5"/>
        <v>0.258990413041642</v>
      </c>
    </row>
    <row r="26" spans="1:8" s="329" customFormat="1" ht="13" thickBot="1"/>
    <row r="27" spans="1:8" s="329" customFormat="1" ht="31" thickBot="1">
      <c r="A27" s="328" t="s">
        <v>120</v>
      </c>
      <c r="B27" s="328" t="s">
        <v>478</v>
      </c>
      <c r="C27" s="328" t="s">
        <v>675</v>
      </c>
      <c r="D27" s="328" t="s">
        <v>676</v>
      </c>
      <c r="E27" s="328" t="s">
        <v>677</v>
      </c>
      <c r="F27" s="328" t="s">
        <v>678</v>
      </c>
      <c r="G27" s="328" t="s">
        <v>679</v>
      </c>
      <c r="H27" s="328" t="s">
        <v>680</v>
      </c>
    </row>
    <row r="28" spans="1:8">
      <c r="A28">
        <f>A16</f>
        <v>1</v>
      </c>
      <c r="H28" s="324">
        <f>'Valuation output'!C12</f>
        <v>7.5779316965438576E-2</v>
      </c>
    </row>
    <row r="29" spans="1:8">
      <c r="A29">
        <f t="shared" ref="A29:A37" si="10">A17</f>
        <v>2</v>
      </c>
      <c r="H29" s="324">
        <f>'Valuation output'!D12</f>
        <v>7.5779316965438576E-2</v>
      </c>
    </row>
    <row r="30" spans="1:8">
      <c r="A30">
        <f t="shared" si="10"/>
        <v>3</v>
      </c>
      <c r="H30" s="324">
        <f>'Valuation output'!E12</f>
        <v>7.5779316965438576E-2</v>
      </c>
    </row>
    <row r="31" spans="1:8">
      <c r="A31">
        <f t="shared" si="10"/>
        <v>4</v>
      </c>
      <c r="H31" s="324">
        <f>'Valuation output'!F12</f>
        <v>7.5779316965438576E-2</v>
      </c>
    </row>
    <row r="32" spans="1:8">
      <c r="A32">
        <f t="shared" si="10"/>
        <v>5</v>
      </c>
      <c r="H32" s="324">
        <f>'Valuation output'!G12</f>
        <v>7.5779316965438576E-2</v>
      </c>
    </row>
    <row r="33" spans="1:8">
      <c r="A33">
        <f t="shared" si="10"/>
        <v>6</v>
      </c>
      <c r="H33" s="324">
        <f>'Valuation output'!H12</f>
        <v>7.2963453572350859E-2</v>
      </c>
    </row>
    <row r="34" spans="1:8">
      <c r="A34">
        <f t="shared" si="10"/>
        <v>7</v>
      </c>
      <c r="H34" s="324">
        <f>'Valuation output'!I12</f>
        <v>7.0147590179263142E-2</v>
      </c>
    </row>
    <row r="35" spans="1:8">
      <c r="A35">
        <f t="shared" si="10"/>
        <v>8</v>
      </c>
      <c r="H35" s="324">
        <f>'Valuation output'!J12</f>
        <v>6.7331726786175425E-2</v>
      </c>
    </row>
    <row r="36" spans="1:8">
      <c r="A36">
        <f t="shared" si="10"/>
        <v>9</v>
      </c>
      <c r="H36" s="324">
        <f>'Valuation output'!K12</f>
        <v>6.4515863393087708E-2</v>
      </c>
    </row>
    <row r="37" spans="1:8">
      <c r="A37">
        <f t="shared" si="10"/>
        <v>10</v>
      </c>
      <c r="H37" s="324">
        <f>'Valuation output'!L12</f>
        <v>6.1699999999999991E-2</v>
      </c>
    </row>
    <row r="38" spans="1:8" ht="13" thickBot="1"/>
    <row r="39" spans="1:8" ht="31" thickBot="1">
      <c r="A39" s="328" t="s">
        <v>120</v>
      </c>
      <c r="B39" s="328" t="s">
        <v>680</v>
      </c>
      <c r="C39" s="328" t="s">
        <v>683</v>
      </c>
      <c r="D39" s="328" t="s">
        <v>16</v>
      </c>
      <c r="E39" s="328" t="s">
        <v>684</v>
      </c>
      <c r="F39" s="328" t="s">
        <v>130</v>
      </c>
    </row>
    <row r="40" spans="1:8">
      <c r="A40">
        <f>A28</f>
        <v>1</v>
      </c>
      <c r="B40" s="337">
        <f>H28</f>
        <v>7.5779316965438576E-2</v>
      </c>
      <c r="C40" s="338">
        <f>(1+'Summary Sheet'!B40)</f>
        <v>1.0757793169654386</v>
      </c>
      <c r="D40" s="332">
        <f>F16</f>
        <v>2187.170016</v>
      </c>
      <c r="F40" s="332">
        <f>D40/C40</f>
        <v>2033.1028692479192</v>
      </c>
    </row>
    <row r="41" spans="1:8">
      <c r="A41">
        <f t="shared" ref="A41:A49" si="11">A29</f>
        <v>2</v>
      </c>
      <c r="B41" s="337">
        <f t="shared" ref="B41:B49" si="12">H29</f>
        <v>7.5779316965438576E-2</v>
      </c>
      <c r="C41" s="338">
        <f>C40*(1+B41)</f>
        <v>1.1573011388106256</v>
      </c>
      <c r="D41" s="332">
        <f t="shared" ref="D41:D49" si="13">F17</f>
        <v>2286.4288531199995</v>
      </c>
      <c r="F41" s="332">
        <f t="shared" ref="F41:F48" si="14">D41/C41</f>
        <v>1975.655926053779</v>
      </c>
    </row>
    <row r="42" spans="1:8">
      <c r="A42">
        <f t="shared" si="11"/>
        <v>3</v>
      </c>
      <c r="B42" s="337">
        <f t="shared" si="12"/>
        <v>7.5779316965438576E-2</v>
      </c>
      <c r="C42" s="338">
        <f t="shared" ref="C42:C49" si="15">C41*(1+B42)</f>
        <v>1.2450006286330191</v>
      </c>
      <c r="D42" s="332">
        <f t="shared" si="13"/>
        <v>2389.7249386367998</v>
      </c>
      <c r="F42" s="332">
        <f t="shared" si="14"/>
        <v>1919.4568128537096</v>
      </c>
    </row>
    <row r="43" spans="1:8">
      <c r="A43">
        <f t="shared" si="11"/>
        <v>4</v>
      </c>
      <c r="B43" s="337">
        <f t="shared" si="12"/>
        <v>7.5779316965438576E-2</v>
      </c>
      <c r="C43" s="338">
        <f t="shared" si="15"/>
        <v>1.339345925892371</v>
      </c>
      <c r="D43" s="332">
        <f t="shared" si="13"/>
        <v>2497.1854105443845</v>
      </c>
      <c r="F43" s="332">
        <f t="shared" si="14"/>
        <v>1864.4812831909542</v>
      </c>
    </row>
    <row r="44" spans="1:8">
      <c r="A44">
        <f t="shared" si="11"/>
        <v>5</v>
      </c>
      <c r="B44" s="337">
        <f t="shared" si="12"/>
        <v>7.5779316965438576E-2</v>
      </c>
      <c r="C44" s="338">
        <f t="shared" si="15"/>
        <v>1.4408406453369378</v>
      </c>
      <c r="D44" s="332">
        <f t="shared" si="13"/>
        <v>2608.9381293017864</v>
      </c>
      <c r="F44" s="332">
        <f t="shared" si="14"/>
        <v>1810.7055334295426</v>
      </c>
    </row>
    <row r="45" spans="1:8">
      <c r="A45">
        <f t="shared" si="11"/>
        <v>6</v>
      </c>
      <c r="B45" s="337">
        <f t="shared" si="12"/>
        <v>7.2963453572350859E-2</v>
      </c>
      <c r="C45" s="338">
        <f t="shared" si="15"/>
        <v>1.5459693548681355</v>
      </c>
      <c r="D45" s="332">
        <f t="shared" si="13"/>
        <v>2837.2271094745556</v>
      </c>
      <c r="F45" s="332">
        <f t="shared" si="14"/>
        <v>1835.2414946262365</v>
      </c>
    </row>
    <row r="46" spans="1:8">
      <c r="A46">
        <f t="shared" si="11"/>
        <v>7</v>
      </c>
      <c r="B46" s="337">
        <f t="shared" si="12"/>
        <v>7.0147590179263142E-2</v>
      </c>
      <c r="C46" s="338">
        <f t="shared" si="15"/>
        <v>1.6544153796031253</v>
      </c>
      <c r="D46" s="332">
        <f t="shared" si="13"/>
        <v>3058.4862210692672</v>
      </c>
      <c r="F46" s="332">
        <f t="shared" si="14"/>
        <v>1848.68096535887</v>
      </c>
    </row>
    <row r="47" spans="1:8">
      <c r="A47">
        <f t="shared" si="11"/>
        <v>8</v>
      </c>
      <c r="B47" s="337">
        <f t="shared" si="12"/>
        <v>6.7331726786175425E-2</v>
      </c>
      <c r="C47" s="338">
        <f t="shared" si="15"/>
        <v>1.7658100239334098</v>
      </c>
      <c r="D47" s="332">
        <f t="shared" si="13"/>
        <v>3268.0109157657616</v>
      </c>
      <c r="F47" s="332">
        <f t="shared" si="14"/>
        <v>1850.7148965471051</v>
      </c>
    </row>
    <row r="48" spans="1:8">
      <c r="A48">
        <f t="shared" si="11"/>
        <v>9</v>
      </c>
      <c r="B48" s="337">
        <f t="shared" si="12"/>
        <v>6.4515863393087708E-2</v>
      </c>
      <c r="C48" s="338">
        <f t="shared" si="15"/>
        <v>1.8797327822156427</v>
      </c>
      <c r="D48" s="332">
        <f t="shared" si="13"/>
        <v>3461.0361920408363</v>
      </c>
      <c r="F48" s="332">
        <f t="shared" si="14"/>
        <v>1841.2384062171379</v>
      </c>
    </row>
    <row r="49" spans="1:6">
      <c r="A49">
        <f t="shared" si="11"/>
        <v>10</v>
      </c>
      <c r="B49" s="337">
        <f t="shared" si="12"/>
        <v>6.1699999999999991E-2</v>
      </c>
      <c r="C49" s="338">
        <f t="shared" si="15"/>
        <v>1.9957122948783479</v>
      </c>
      <c r="D49" s="332">
        <f t="shared" si="13"/>
        <v>3632.9074800048056</v>
      </c>
      <c r="E49" s="332">
        <f>'Valuation output'!B18</f>
        <v>63917.244919263692</v>
      </c>
      <c r="F49" s="332">
        <f>(D49+E49)/C49</f>
        <v>33847.640550506374</v>
      </c>
    </row>
    <row r="50" spans="1:6">
      <c r="A50" t="s">
        <v>44</v>
      </c>
      <c r="F50" s="332">
        <f>SUM(F40:F49)</f>
        <v>50826.918738031629</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62</v>
      </c>
      <c r="B1" s="6"/>
    </row>
    <row r="2" spans="1:7" ht="14">
      <c r="A2" s="8" t="s">
        <v>63</v>
      </c>
      <c r="B2" s="8"/>
      <c r="D2" s="28">
        <v>127.85</v>
      </c>
    </row>
    <row r="3" spans="1:7" ht="14">
      <c r="A3" s="8" t="s">
        <v>64</v>
      </c>
      <c r="B3" s="8"/>
      <c r="D3" s="9">
        <f>'Input sheet'!B34</f>
        <v>17.03</v>
      </c>
    </row>
    <row r="4" spans="1:7" ht="14">
      <c r="A4" s="8" t="s">
        <v>65</v>
      </c>
      <c r="B4" s="8"/>
      <c r="D4" s="12">
        <f>'Input sheet'!B35</f>
        <v>4.5</v>
      </c>
    </row>
    <row r="5" spans="1:7" ht="14">
      <c r="A5" s="8" t="s">
        <v>66</v>
      </c>
      <c r="B5" s="8"/>
      <c r="D5" s="10">
        <f>'Input sheet'!B36</f>
        <v>0.35</v>
      </c>
      <c r="E5" s="8" t="s">
        <v>67</v>
      </c>
    </row>
    <row r="6" spans="1:7" ht="14">
      <c r="A6" s="8" t="s">
        <v>68</v>
      </c>
      <c r="B6" s="8"/>
      <c r="D6" s="11">
        <v>0</v>
      </c>
    </row>
    <row r="7" spans="1:7" ht="14">
      <c r="A7" s="8" t="s">
        <v>69</v>
      </c>
      <c r="B7" s="8"/>
      <c r="D7" s="11">
        <f>'Input sheet'!B29</f>
        <v>1.67E-2</v>
      </c>
    </row>
    <row r="8" spans="1:7" ht="14">
      <c r="A8" s="8" t="s">
        <v>70</v>
      </c>
      <c r="B8" s="8"/>
      <c r="D8" s="12">
        <f>'Input sheet'!B33</f>
        <v>23.5</v>
      </c>
    </row>
    <row r="9" spans="1:7" ht="14">
      <c r="A9" s="8" t="s">
        <v>71</v>
      </c>
      <c r="B9" s="8"/>
      <c r="D9" s="13">
        <f>'Input sheet'!B19</f>
        <v>321.41000000000003</v>
      </c>
    </row>
    <row r="10" spans="1:7" ht="14">
      <c r="A10" s="8"/>
      <c r="B10" s="8"/>
    </row>
    <row r="11" spans="1:7" s="16" customFormat="1" ht="14">
      <c r="A11" s="14" t="s">
        <v>72</v>
      </c>
      <c r="B11" s="15"/>
    </row>
    <row r="12" spans="1:7" s="8" customFormat="1" ht="14">
      <c r="A12" s="17" t="s">
        <v>73</v>
      </c>
    </row>
    <row r="13" spans="1:7" s="8" customFormat="1" ht="14">
      <c r="A13" s="8" t="s">
        <v>74</v>
      </c>
      <c r="C13" s="18">
        <f>D2</f>
        <v>127.85</v>
      </c>
      <c r="D13" s="8" t="s">
        <v>75</v>
      </c>
      <c r="F13" s="19">
        <f>D8</f>
        <v>23.5</v>
      </c>
      <c r="G13" s="20"/>
    </row>
    <row r="14" spans="1:7" s="8" customFormat="1" ht="14">
      <c r="A14" s="8" t="s">
        <v>76</v>
      </c>
      <c r="C14" s="18">
        <f>D3</f>
        <v>17.03</v>
      </c>
      <c r="D14" s="8" t="s">
        <v>77</v>
      </c>
      <c r="F14" s="21">
        <f>D9</f>
        <v>321.41000000000003</v>
      </c>
      <c r="G14" s="20"/>
    </row>
    <row r="15" spans="1:7" s="8" customFormat="1" ht="14">
      <c r="A15" s="8" t="s">
        <v>78</v>
      </c>
      <c r="C15" s="18">
        <f ca="1">(C13*F14+C26*F13)/(F14+F13)</f>
        <v>124.77430654852652</v>
      </c>
      <c r="D15" s="8" t="s">
        <v>79</v>
      </c>
      <c r="F15" s="22">
        <f>D7</f>
        <v>1.67E-2</v>
      </c>
    </row>
    <row r="16" spans="1:7" s="8" customFormat="1" ht="14">
      <c r="A16" s="8" t="s">
        <v>80</v>
      </c>
      <c r="C16" s="18">
        <f>C14</f>
        <v>17.03</v>
      </c>
      <c r="D16" s="8" t="s">
        <v>81</v>
      </c>
      <c r="F16" s="23">
        <f>D5^2</f>
        <v>0.12249999999999998</v>
      </c>
    </row>
    <row r="17" spans="1:7" s="8" customFormat="1" ht="14">
      <c r="A17" s="8" t="s">
        <v>82</v>
      </c>
      <c r="C17" s="18">
        <f>D4</f>
        <v>4.5</v>
      </c>
      <c r="D17" s="8" t="s">
        <v>83</v>
      </c>
      <c r="F17" s="22">
        <f>D6</f>
        <v>0</v>
      </c>
    </row>
    <row r="18" spans="1:7" s="8" customFormat="1" ht="14">
      <c r="C18" s="17"/>
      <c r="D18" s="8" t="s">
        <v>84</v>
      </c>
      <c r="F18" s="24">
        <f>F15-F17</f>
        <v>1.67E-2</v>
      </c>
    </row>
    <row r="19" spans="1:7" s="8" customFormat="1" ht="14"/>
    <row r="20" spans="1:7" s="8" customFormat="1" ht="14">
      <c r="A20" s="8" t="s">
        <v>85</v>
      </c>
      <c r="B20" s="19">
        <f ca="1">(LN(C15/C16)+(F18+(F16/2))*C17)/(((F16)^(0.5))*(C17^0.5))</f>
        <v>2.2614791982221338</v>
      </c>
    </row>
    <row r="21" spans="1:7" s="8" customFormat="1" ht="14">
      <c r="A21" s="8" t="s">
        <v>86</v>
      </c>
      <c r="B21" s="19">
        <f ca="1">NORMSDIST(B20)</f>
        <v>0.98813520030359292</v>
      </c>
    </row>
    <row r="22" spans="1:7" s="8" customFormat="1" ht="14"/>
    <row r="23" spans="1:7" s="8" customFormat="1" ht="15.75" customHeight="1">
      <c r="A23" s="8" t="s">
        <v>87</v>
      </c>
      <c r="B23" s="19">
        <f ca="1">B20-((F16^0.5)*(C17^(0.5)))</f>
        <v>1.6542313081475779</v>
      </c>
    </row>
    <row r="24" spans="1:7" s="8" customFormat="1" ht="14">
      <c r="A24" s="8" t="s">
        <v>88</v>
      </c>
      <c r="B24" s="19">
        <f ca="1">NORMSDIST(B23)</f>
        <v>0.95095973806750977</v>
      </c>
    </row>
    <row r="25" spans="1:7" ht="15" thickBot="1">
      <c r="A25" s="8"/>
      <c r="B25" s="8"/>
    </row>
    <row r="26" spans="1:7" s="8" customFormat="1" ht="15" thickBot="1">
      <c r="A26" s="8" t="s">
        <v>89</v>
      </c>
      <c r="C26" s="25">
        <f ca="1">((EXP((0-F17)*C17))*C15*B21-C16*(EXP((0-F15)*C17))*B24)</f>
        <v>87.156802680880872</v>
      </c>
      <c r="G26" s="26"/>
    </row>
    <row r="27" spans="1:7" s="8" customFormat="1" ht="15" thickBot="1">
      <c r="A27" s="8" t="s">
        <v>90</v>
      </c>
      <c r="D27" s="27">
        <f ca="1">C26*D8</f>
        <v>3477.5564269671468</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D23" sqref="D23"/>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745</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183</v>
      </c>
      <c r="B3" s="244"/>
      <c r="C3" s="238"/>
      <c r="G3" s="129" t="s">
        <v>606</v>
      </c>
    </row>
    <row r="4" spans="1:17" s="14" customFormat="1" ht="15" customHeight="1">
      <c r="A4" s="14" t="s">
        <v>6</v>
      </c>
      <c r="B4" s="243"/>
      <c r="C4" s="238"/>
      <c r="G4" s="164" t="s">
        <v>354</v>
      </c>
      <c r="H4" s="164" t="s">
        <v>11</v>
      </c>
      <c r="I4" s="164" t="s">
        <v>381</v>
      </c>
      <c r="J4" s="164" t="s">
        <v>383</v>
      </c>
      <c r="K4" s="164" t="s">
        <v>382</v>
      </c>
    </row>
    <row r="5" spans="1:17" s="8" customFormat="1" ht="15" customHeight="1">
      <c r="A5" s="113" t="s">
        <v>184</v>
      </c>
      <c r="B5" s="114"/>
      <c r="G5" s="162" t="s">
        <v>380</v>
      </c>
      <c r="H5" s="162">
        <v>6562</v>
      </c>
      <c r="I5" s="123">
        <f>IF(H5=0,0,VLOOKUP(G5,'Country equity risk premiums'!$A$5:$D$190,4))</f>
        <v>5.1999999999999998E-2</v>
      </c>
      <c r="J5" s="123">
        <f t="shared" ref="J5:J12" si="0">IF(H5&gt;0,H5/$H$18,)</f>
        <v>0.52236904951440855</v>
      </c>
      <c r="K5" s="123">
        <f t="shared" ref="K5:K12" si="1">IF(J5=0,0,I5*J5)</f>
        <v>2.7163190574749242E-2</v>
      </c>
      <c r="M5" s="428" t="s">
        <v>663</v>
      </c>
      <c r="N5" s="428"/>
      <c r="O5" s="428"/>
      <c r="P5" s="428"/>
      <c r="Q5" s="428"/>
    </row>
    <row r="6" spans="1:17" s="8" customFormat="1" ht="15" customHeight="1">
      <c r="A6" s="114" t="s">
        <v>185</v>
      </c>
      <c r="B6" s="120">
        <f>'Input sheet'!B19</f>
        <v>321.41000000000003</v>
      </c>
      <c r="G6" s="230" t="s">
        <v>273</v>
      </c>
      <c r="H6" s="162"/>
      <c r="I6" s="123">
        <f>IF(H6=0,0,VLOOKUP(G6,'Country equity risk premiums'!$A$5:$D$190,4))</f>
        <v>0</v>
      </c>
      <c r="J6" s="123">
        <f t="shared" si="0"/>
        <v>0</v>
      </c>
      <c r="K6" s="123">
        <f t="shared" si="1"/>
        <v>0</v>
      </c>
      <c r="M6" s="428"/>
      <c r="N6" s="428"/>
      <c r="O6" s="428"/>
      <c r="P6" s="428"/>
      <c r="Q6" s="428"/>
    </row>
    <row r="7" spans="1:17" s="8" customFormat="1" ht="15" customHeight="1">
      <c r="A7" s="114" t="s">
        <v>186</v>
      </c>
      <c r="B7" s="121">
        <f>'Input sheet'!B20</f>
        <v>179.82</v>
      </c>
      <c r="G7" s="230"/>
      <c r="H7" s="162"/>
      <c r="I7" s="123">
        <f>IF(H7=0,0,VLOOKUP(G7,'Country equity risk premiums'!$A$5:$D$190,4))</f>
        <v>0</v>
      </c>
      <c r="J7" s="123">
        <f t="shared" si="0"/>
        <v>0</v>
      </c>
      <c r="K7" s="123">
        <f t="shared" si="1"/>
        <v>0</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477</v>
      </c>
      <c r="B9" s="230" t="s">
        <v>483</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479</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211</v>
      </c>
      <c r="B11" s="167">
        <f>IF(B9="Single Business(US)",VLOOKUP('Input sheet'!B6,'Industry Average Beta (US)'!A2:G95,7),IF(B9="Multibusiness(US)",K48,IF(B9="Single Business(Global)",VLOOKUP('Input sheet'!B7,'Industry Average Beta (Global)'!A2:G95,7),'Cost of capital worksheet'!K64)))</f>
        <v>1.0121653053546547</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187</v>
      </c>
      <c r="B12" s="125">
        <f>'Input sheet'!B29</f>
        <v>1.67E-2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443</v>
      </c>
      <c r="B13" s="231" t="s">
        <v>447</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449</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450</v>
      </c>
      <c r="B15" s="233">
        <f>IF(B13="Will Input",B14,IF(B13="Country of Incorporation",VLOOKUP('Input sheet'!B5,'Country equity risk premiums'!A5:E190,4),IF(B13="Operating regions",'Cost of capital worksheet'!K32,'Cost of capital worksheet'!K18)))</f>
        <v>5.9511685780224949E-2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756</v>
      </c>
      <c r="H16" s="162">
        <v>6000</v>
      </c>
      <c r="I16" s="349">
        <v>7.3899999999999993E-2</v>
      </c>
      <c r="J16" s="123">
        <f>IF(H16&gt;0,H16/$H$18,)</f>
        <v>0.47763095048559145</v>
      </c>
      <c r="K16" s="123">
        <f>IF(J16=0,0,I16*J16)</f>
        <v>3.5296927240885206E-2</v>
      </c>
      <c r="M16" s="428"/>
      <c r="N16" s="428"/>
      <c r="O16" s="428"/>
      <c r="P16" s="428"/>
      <c r="Q16" s="428"/>
    </row>
    <row r="17" spans="1:17" s="8" customFormat="1" ht="15" customHeight="1">
      <c r="A17" s="17" t="s">
        <v>188</v>
      </c>
      <c r="B17" s="116"/>
      <c r="G17" s="321"/>
      <c r="H17" s="162"/>
      <c r="I17" s="321"/>
      <c r="J17" s="123">
        <f>IF(H17&gt;0,H17/$H$18,)</f>
        <v>0</v>
      </c>
      <c r="K17" s="123">
        <f>IF(J17=0,0,I17*J17)</f>
        <v>0</v>
      </c>
      <c r="M17" s="428"/>
      <c r="N17" s="428"/>
      <c r="O17" s="428"/>
      <c r="P17" s="428"/>
      <c r="Q17" s="428"/>
    </row>
    <row r="18" spans="1:17" s="8" customFormat="1" ht="15" customHeight="1">
      <c r="A18" s="8" t="s">
        <v>189</v>
      </c>
      <c r="B18" s="121">
        <f>'Input sheet'!B12</f>
        <v>7643</v>
      </c>
      <c r="G18" s="163" t="s">
        <v>384</v>
      </c>
      <c r="H18" s="163">
        <f>SUM(H5:H17)</f>
        <v>12562</v>
      </c>
      <c r="I18" s="163"/>
      <c r="J18" s="123">
        <f>SUM(J5:J17)</f>
        <v>1</v>
      </c>
      <c r="K18" s="123">
        <f>SUM(K5:K17)</f>
        <v>6.2460117815634444E-2</v>
      </c>
      <c r="M18" s="428"/>
      <c r="N18" s="428"/>
      <c r="O18" s="428"/>
      <c r="P18" s="428"/>
      <c r="Q18" s="428"/>
    </row>
    <row r="19" spans="1:17" s="8" customFormat="1" ht="15" customHeight="1">
      <c r="A19" s="8" t="s">
        <v>190</v>
      </c>
      <c r="B19" s="121">
        <f>'Input sheet'!B10</f>
        <v>233</v>
      </c>
      <c r="G19" s="129" t="s">
        <v>451</v>
      </c>
      <c r="M19" s="428"/>
      <c r="N19" s="428"/>
      <c r="O19" s="428"/>
      <c r="P19" s="428"/>
      <c r="Q19" s="428"/>
    </row>
    <row r="20" spans="1:17" s="8" customFormat="1" ht="15" customHeight="1">
      <c r="A20" s="8" t="s">
        <v>191</v>
      </c>
      <c r="B20" s="115">
        <v>4</v>
      </c>
      <c r="G20" s="19" t="s">
        <v>357</v>
      </c>
      <c r="H20" s="19" t="s">
        <v>11</v>
      </c>
      <c r="I20" s="19" t="s">
        <v>381</v>
      </c>
      <c r="J20" s="19" t="s">
        <v>383</v>
      </c>
      <c r="K20" s="19" t="s">
        <v>382</v>
      </c>
    </row>
    <row r="21" spans="1:17" s="8" customFormat="1" ht="15" customHeight="1">
      <c r="A21" s="8" t="s">
        <v>456</v>
      </c>
      <c r="B21" s="132" t="s">
        <v>455</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458</v>
      </c>
      <c r="B22" s="234">
        <v>0.04</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457</v>
      </c>
      <c r="B23" s="132" t="s">
        <v>471</v>
      </c>
      <c r="G23" s="19" t="str">
        <f>'Country equity risk premiums'!A196</f>
        <v>Latin America &amp; Caribbean</v>
      </c>
      <c r="H23" s="230">
        <v>342</v>
      </c>
      <c r="I23" s="24">
        <f>'Country equity risk premiums'!B196</f>
        <v>9.9761014464051528E-2</v>
      </c>
      <c r="J23" s="123">
        <f t="shared" si="2"/>
        <v>2.4930747922437674E-2</v>
      </c>
      <c r="K23" s="165">
        <f t="shared" si="3"/>
        <v>2.4871167040899276E-3</v>
      </c>
    </row>
    <row r="24" spans="1:17" s="8" customFormat="1" ht="15" customHeight="1">
      <c r="A24" s="8" t="s">
        <v>474</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125</v>
      </c>
      <c r="B25" s="233">
        <f>IF(B21="Direct Input",B22,IF(B21="Synthetic Rating",'Synthetic rating'!D13,B12+VLOOKUP('Cost of capital worksheet'!B23,'Synthetic rating'!G39:H53,2)))</f>
        <v>2.92E-2</v>
      </c>
      <c r="G25" s="19" t="str">
        <f>'Country equity risk premiums'!A198</f>
        <v>US</v>
      </c>
      <c r="H25" s="230">
        <v>6562</v>
      </c>
      <c r="I25" s="24">
        <f>'Country equity risk premiums'!B198</f>
        <v>5.1999999999999998E-2</v>
      </c>
      <c r="J25" s="123">
        <f t="shared" si="2"/>
        <v>0.47834961364630413</v>
      </c>
      <c r="K25" s="165">
        <f t="shared" si="3"/>
        <v>2.4874179909607812E-2</v>
      </c>
    </row>
    <row r="26" spans="1:17" s="8" customFormat="1" ht="15" customHeight="1">
      <c r="A26" s="8" t="s">
        <v>192</v>
      </c>
      <c r="B26" s="236">
        <f>'Input sheet'!B22</f>
        <v>0.25</v>
      </c>
      <c r="G26" s="19" t="str">
        <f>'Country equity risk premiums'!A199</f>
        <v>Europe</v>
      </c>
      <c r="H26" s="230">
        <v>4241</v>
      </c>
      <c r="I26" s="24">
        <f>'Country equity risk premiums'!B199</f>
        <v>6.3499442653654425E-2</v>
      </c>
      <c r="J26" s="123">
        <f t="shared" si="2"/>
        <v>0.30915585362297709</v>
      </c>
      <c r="K26" s="165">
        <f t="shared" si="3"/>
        <v>1.9631224398173816E-2</v>
      </c>
    </row>
    <row r="27" spans="1:17" s="8" customFormat="1" ht="15" customHeight="1">
      <c r="B27" s="116"/>
      <c r="G27" s="19" t="str">
        <f>'Country equity risk premiums'!A200</f>
        <v>Emerging Markets</v>
      </c>
      <c r="H27" s="230">
        <v>0</v>
      </c>
      <c r="I27" s="24">
        <f>'Country equity risk premiums'!B200</f>
        <v>7.7709166095167509E-2</v>
      </c>
      <c r="J27" s="123">
        <f t="shared" si="2"/>
        <v>0</v>
      </c>
      <c r="K27" s="165">
        <f t="shared" si="3"/>
        <v>0</v>
      </c>
    </row>
    <row r="28" spans="1:17" s="8" customFormat="1" ht="15" customHeight="1">
      <c r="A28" s="8" t="s">
        <v>193</v>
      </c>
      <c r="B28" s="115">
        <v>0</v>
      </c>
      <c r="G28" s="19" t="str">
        <f>'Country equity risk premiums'!A201</f>
        <v>Asia</v>
      </c>
      <c r="H28" s="230">
        <v>2573</v>
      </c>
      <c r="I28" s="24">
        <f>'Country equity risk premiums'!B201</f>
        <v>6.6746172674804469E-2</v>
      </c>
      <c r="J28" s="123">
        <f t="shared" si="2"/>
        <v>0.18756378480828109</v>
      </c>
      <c r="K28" s="165">
        <f t="shared" si="3"/>
        <v>1.2519164768353398E-2</v>
      </c>
    </row>
    <row r="29" spans="1:17" s="8" customFormat="1" ht="15" customHeight="1">
      <c r="A29" s="8" t="s">
        <v>194</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195</v>
      </c>
      <c r="B30" s="115">
        <v>0</v>
      </c>
      <c r="G30" s="230"/>
      <c r="H30" s="230"/>
      <c r="I30" s="322"/>
      <c r="J30" s="123">
        <f>H30/$H$32</f>
        <v>0</v>
      </c>
      <c r="K30" s="165">
        <f>I30*J30</f>
        <v>0</v>
      </c>
    </row>
    <row r="31" spans="1:17" s="8" customFormat="1" ht="15" customHeight="1">
      <c r="A31" s="8" t="s">
        <v>196</v>
      </c>
      <c r="B31" s="115">
        <v>0</v>
      </c>
      <c r="G31" s="230"/>
      <c r="H31" s="230"/>
      <c r="I31" s="322"/>
      <c r="J31" s="123">
        <f>H31/$H$32</f>
        <v>0</v>
      </c>
      <c r="K31" s="165">
        <f>I31*J31</f>
        <v>0</v>
      </c>
    </row>
    <row r="32" spans="1:17" s="8" customFormat="1" ht="15" customHeight="1">
      <c r="B32" s="116"/>
      <c r="G32" s="163" t="s">
        <v>384</v>
      </c>
      <c r="H32" s="163">
        <f>SUM(H21:H31)</f>
        <v>13718</v>
      </c>
      <c r="I32" s="125"/>
      <c r="J32" s="123">
        <f>SUM(J21:J31)</f>
        <v>0.99999999999999989</v>
      </c>
      <c r="K32" s="166">
        <f>SUM(K21:K31)</f>
        <v>5.9511685780224949E-2</v>
      </c>
    </row>
    <row r="33" spans="1:11" s="8" customFormat="1" ht="15" customHeight="1">
      <c r="A33" s="8" t="s">
        <v>197</v>
      </c>
      <c r="B33" s="121">
        <f>IF('Input sheet'!B14="Yes",'Operating lease converter'!F33,0)</f>
        <v>0</v>
      </c>
    </row>
    <row r="34" spans="1:11" s="8" customFormat="1" ht="15" customHeight="1">
      <c r="B34" s="117"/>
      <c r="G34" s="112" t="s">
        <v>480</v>
      </c>
    </row>
    <row r="35" spans="1:11" s="8" customFormat="1" ht="15" customHeight="1">
      <c r="A35" s="17" t="s">
        <v>198</v>
      </c>
      <c r="B35" s="116"/>
      <c r="G35" s="19" t="s">
        <v>395</v>
      </c>
      <c r="H35" s="19" t="s">
        <v>11</v>
      </c>
      <c r="I35" s="19" t="s">
        <v>170</v>
      </c>
      <c r="J35" s="19" t="s">
        <v>396</v>
      </c>
      <c r="K35" s="19" t="s">
        <v>212</v>
      </c>
    </row>
    <row r="36" spans="1:11" s="8" customFormat="1" ht="15" customHeight="1">
      <c r="A36" s="8" t="s">
        <v>199</v>
      </c>
      <c r="B36" s="115">
        <v>0</v>
      </c>
      <c r="G36" s="230" t="s">
        <v>516</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200</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201</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124</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202</v>
      </c>
      <c r="B41" s="19"/>
      <c r="C41" s="122">
        <f>B19*(1-(1+B25)^(-B20))/B25+B18/(1+B25)^B20</f>
        <v>7679.5882309171566</v>
      </c>
      <c r="G41" s="230"/>
      <c r="H41" s="175"/>
      <c r="I41" s="176">
        <f>IF(G41=0,,VLOOKUP(G41,'Industry Average Beta (US)'!$A$2:$S$95,15))</f>
        <v>0</v>
      </c>
      <c r="J41" s="177">
        <f t="shared" si="4"/>
        <v>0</v>
      </c>
      <c r="K41" s="176">
        <f>IF(I41=0,0,VLOOKUP(G41,'Industry Average Beta (US)'!$A$2:$S$95,7))</f>
        <v>0</v>
      </c>
    </row>
    <row r="42" spans="1:11" s="8" customFormat="1" ht="15" customHeight="1">
      <c r="A42" s="19" t="s">
        <v>203</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204</v>
      </c>
      <c r="B43" s="19"/>
      <c r="C43" s="122">
        <f>B33</f>
        <v>0</v>
      </c>
      <c r="G43" s="230"/>
      <c r="H43" s="175"/>
      <c r="I43" s="176">
        <f>IF(G43=0,,VLOOKUP(G43,'Industry Average Beta (US)'!$A$2:$S$95,15))</f>
        <v>0</v>
      </c>
      <c r="J43" s="177">
        <f t="shared" si="4"/>
        <v>0</v>
      </c>
      <c r="K43" s="176">
        <f>IF(I43=0,0,VLOOKUP(G43,'Industry Average Beta (US)'!$A$2:$S$95,7))</f>
        <v>0</v>
      </c>
    </row>
    <row r="44" spans="1:11" ht="14">
      <c r="A44" s="19" t="s">
        <v>205</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213</v>
      </c>
      <c r="B45" s="19"/>
      <c r="C45" s="128">
        <f>IF(B9="Direct Input",B10,B11*(1+(1-B26)*(C48/B48)))</f>
        <v>1.113033272026307</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184</v>
      </c>
      <c r="C47" s="119" t="s">
        <v>206</v>
      </c>
      <c r="D47" s="119" t="s">
        <v>198</v>
      </c>
      <c r="E47" s="119" t="s">
        <v>207</v>
      </c>
      <c r="F47" s="118"/>
      <c r="G47" s="230"/>
      <c r="H47" s="175"/>
      <c r="I47" s="176">
        <f>IF(G47=0,,VLOOKUP(G47,'Industry Average Beta (US)'!$A$2:$S$95,15))</f>
        <v>0</v>
      </c>
      <c r="J47" s="177">
        <f t="shared" si="4"/>
        <v>0</v>
      </c>
      <c r="K47" s="176">
        <f>IF(I47=0,0,VLOOKUP(G47,'Industry Average Beta (US)'!$A$2:$S$95,7))</f>
        <v>0</v>
      </c>
    </row>
    <row r="48" spans="1:11" ht="14">
      <c r="A48" s="19" t="s">
        <v>208</v>
      </c>
      <c r="B48" s="122">
        <f>B6*B7</f>
        <v>57795.946200000006</v>
      </c>
      <c r="C48" s="122">
        <f>C41+C42+C43</f>
        <v>7679.5882309171566</v>
      </c>
      <c r="D48" s="122">
        <f>B36*B37</f>
        <v>0</v>
      </c>
      <c r="E48" s="121">
        <f>SUM(B48:D48)</f>
        <v>65475.534430917163</v>
      </c>
      <c r="F48" s="8"/>
      <c r="G48" s="178" t="s">
        <v>241</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209</v>
      </c>
      <c r="B49" s="123">
        <f>B48/$E$48</f>
        <v>0.8827105681891021</v>
      </c>
      <c r="C49" s="123">
        <f>C48/$E$48</f>
        <v>0.1172894318108979</v>
      </c>
      <c r="D49" s="123">
        <f>D48/$E$48</f>
        <v>0</v>
      </c>
      <c r="E49" s="124">
        <f>SUM(B49:D49)</f>
        <v>1</v>
      </c>
      <c r="F49" s="8"/>
    </row>
    <row r="50" spans="1:11" ht="20" thickBot="1">
      <c r="A50" s="19" t="s">
        <v>210</v>
      </c>
      <c r="B50" s="125">
        <f>B12+C45*B15</f>
        <v>8.2938486347765211E-2</v>
      </c>
      <c r="C50" s="123">
        <f>B25*(1-B26)</f>
        <v>2.1899999999999999E-2</v>
      </c>
      <c r="D50" s="126">
        <f>B38/B37</f>
        <v>7.1428571428571425E-2</v>
      </c>
      <c r="E50" s="127">
        <f>B49*B50+C49*C50+D49*D50</f>
        <v>7.5779316965438576E-2</v>
      </c>
      <c r="F50" s="8"/>
      <c r="G50" s="240" t="s">
        <v>481</v>
      </c>
    </row>
    <row r="51" spans="1:11" ht="14">
      <c r="G51" s="19" t="s">
        <v>395</v>
      </c>
      <c r="H51" s="19" t="s">
        <v>11</v>
      </c>
      <c r="I51" s="19" t="s">
        <v>170</v>
      </c>
      <c r="J51" s="19" t="s">
        <v>396</v>
      </c>
      <c r="K51" s="19" t="s">
        <v>212</v>
      </c>
    </row>
    <row r="52" spans="1:11" ht="14">
      <c r="G52" s="230" t="s">
        <v>533</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241</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406</v>
      </c>
      <c r="B1" s="29"/>
      <c r="C1" s="29"/>
      <c r="D1" s="29"/>
      <c r="E1" s="29"/>
      <c r="F1" s="29"/>
      <c r="G1" s="29"/>
      <c r="H1" s="29"/>
      <c r="I1" s="29"/>
      <c r="J1" s="29"/>
    </row>
    <row r="2" spans="1:10" s="8" customFormat="1" ht="14">
      <c r="A2" s="8" t="s">
        <v>407</v>
      </c>
    </row>
    <row r="3" spans="1:10" s="8" customFormat="1" ht="14">
      <c r="A3" s="8" t="s">
        <v>408</v>
      </c>
    </row>
    <row r="4" spans="1:10" s="8" customFormat="1" ht="14"/>
    <row r="5" spans="1:10" s="8" customFormat="1" ht="14">
      <c r="A5" s="17" t="s">
        <v>6</v>
      </c>
    </row>
    <row r="6" spans="1:10" s="8" customFormat="1" ht="14">
      <c r="A6" s="8" t="s">
        <v>409</v>
      </c>
      <c r="F6" s="132">
        <v>5</v>
      </c>
      <c r="G6" s="8" t="s">
        <v>410</v>
      </c>
    </row>
    <row r="7" spans="1:10" s="8" customFormat="1" ht="14">
      <c r="A7" s="8" t="s">
        <v>411</v>
      </c>
      <c r="F7" s="33">
        <v>233</v>
      </c>
      <c r="G7" s="8" t="s">
        <v>412</v>
      </c>
    </row>
    <row r="8" spans="1:10" s="8" customFormat="1" ht="14">
      <c r="A8" s="8" t="s">
        <v>413</v>
      </c>
    </row>
    <row r="9" spans="1:10" s="8" customFormat="1" ht="14">
      <c r="A9" s="8" t="s">
        <v>414</v>
      </c>
    </row>
    <row r="10" spans="1:10" s="186" customFormat="1" ht="14">
      <c r="A10" s="184" t="s">
        <v>120</v>
      </c>
      <c r="B10" s="184" t="s">
        <v>415</v>
      </c>
      <c r="C10" s="185"/>
      <c r="D10" s="185"/>
      <c r="E10" s="185"/>
      <c r="F10" s="185"/>
      <c r="G10" s="185"/>
      <c r="H10" s="185"/>
      <c r="I10" s="185"/>
    </row>
    <row r="11" spans="1:10" s="186" customFormat="1" ht="14">
      <c r="A11" s="187">
        <v>-1</v>
      </c>
      <c r="B11" s="188">
        <v>233</v>
      </c>
      <c r="C11" s="185" t="s">
        <v>416</v>
      </c>
      <c r="D11" s="185"/>
      <c r="E11" s="185"/>
      <c r="F11" s="185"/>
      <c r="G11" s="185"/>
      <c r="H11" s="185"/>
      <c r="I11" s="185"/>
    </row>
    <row r="12" spans="1:10" s="186" customFormat="1" ht="14">
      <c r="A12" s="187">
        <f>IF((0-A11)&lt;$F$6,IF(A11&gt;-1,,A11-1),)</f>
        <v>-2</v>
      </c>
      <c r="B12" s="188">
        <v>225</v>
      </c>
      <c r="C12" s="185" t="s">
        <v>417</v>
      </c>
      <c r="D12" s="185"/>
      <c r="E12" s="185"/>
      <c r="F12" s="185"/>
      <c r="G12" s="185"/>
      <c r="H12" s="185"/>
      <c r="I12" s="185"/>
    </row>
    <row r="13" spans="1:10" s="186" customFormat="1" ht="14">
      <c r="A13" s="187">
        <f t="shared" ref="A13:A20" si="0">IF((0-A12)&lt;$F$6,IF(A12&gt;-1,,A12-1),)</f>
        <v>-3</v>
      </c>
      <c r="B13" s="188">
        <v>223</v>
      </c>
      <c r="C13" s="185"/>
      <c r="D13" s="185"/>
      <c r="E13" s="185"/>
      <c r="F13" s="185"/>
      <c r="G13" s="185"/>
      <c r="H13" s="185"/>
      <c r="I13" s="185"/>
    </row>
    <row r="14" spans="1:10" s="186" customFormat="1" ht="14">
      <c r="A14" s="187">
        <f t="shared" si="0"/>
        <v>-4</v>
      </c>
      <c r="B14" s="188">
        <v>218</v>
      </c>
      <c r="C14" s="185"/>
      <c r="D14" s="185"/>
      <c r="E14" s="185"/>
      <c r="F14" s="185"/>
      <c r="G14" s="185"/>
      <c r="H14" s="185"/>
      <c r="I14" s="185"/>
    </row>
    <row r="15" spans="1:10" s="186" customFormat="1" ht="14">
      <c r="A15" s="187">
        <f t="shared" si="0"/>
        <v>-5</v>
      </c>
      <c r="B15" s="188">
        <v>227</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124</v>
      </c>
      <c r="B22" s="185"/>
      <c r="C22" s="185"/>
      <c r="D22" s="185"/>
      <c r="E22" s="185"/>
      <c r="F22" s="185"/>
      <c r="G22" s="185"/>
      <c r="H22" s="185"/>
      <c r="I22" s="185"/>
    </row>
    <row r="23" spans="1:9" s="186" customFormat="1" ht="14">
      <c r="A23" s="184" t="s">
        <v>120</v>
      </c>
      <c r="B23" s="184" t="s">
        <v>418</v>
      </c>
      <c r="C23" s="190" t="s">
        <v>419</v>
      </c>
      <c r="D23" s="191"/>
      <c r="E23" s="185" t="s">
        <v>420</v>
      </c>
      <c r="F23" s="185"/>
      <c r="G23" s="185"/>
      <c r="H23" s="185"/>
      <c r="I23" s="185"/>
    </row>
    <row r="24" spans="1:9" s="186" customFormat="1" ht="14">
      <c r="A24" s="184" t="s">
        <v>421</v>
      </c>
      <c r="B24" s="184">
        <f>F7</f>
        <v>233</v>
      </c>
      <c r="C24" s="184">
        <f>1</f>
        <v>1</v>
      </c>
      <c r="D24" s="184">
        <f>B24*C24</f>
        <v>233</v>
      </c>
      <c r="E24" s="185"/>
      <c r="F24" s="185"/>
      <c r="G24" s="185"/>
      <c r="H24" s="185"/>
      <c r="I24" s="185"/>
    </row>
    <row r="25" spans="1:9" s="186" customFormat="1" ht="14">
      <c r="A25" s="187">
        <f>A11</f>
        <v>-1</v>
      </c>
      <c r="B25" s="184">
        <f>B11</f>
        <v>233</v>
      </c>
      <c r="C25" s="184">
        <f>IF(A25&lt;0,($F$6+A25)/$F$6,0)</f>
        <v>0.8</v>
      </c>
      <c r="D25" s="184">
        <f>B25*C25</f>
        <v>186.4</v>
      </c>
      <c r="E25" s="192">
        <f t="shared" ref="E25:E34" si="1">IF(A25&lt;0,B25/$F$6,0)</f>
        <v>46.6</v>
      </c>
      <c r="F25" s="185"/>
      <c r="G25" s="185"/>
      <c r="H25" s="185"/>
      <c r="I25" s="185"/>
    </row>
    <row r="26" spans="1:9" s="186" customFormat="1" ht="14">
      <c r="A26" s="187">
        <f t="shared" ref="A26:B34" si="2">A12</f>
        <v>-2</v>
      </c>
      <c r="B26" s="184">
        <f t="shared" si="2"/>
        <v>225</v>
      </c>
      <c r="C26" s="184">
        <f>IF(A26&lt;0,($F$6+A26)/$F$6,0)</f>
        <v>0.6</v>
      </c>
      <c r="D26" s="184">
        <f t="shared" ref="D26:D34" si="3">B26*C26</f>
        <v>135</v>
      </c>
      <c r="E26" s="192">
        <f t="shared" si="1"/>
        <v>45</v>
      </c>
      <c r="F26" s="185"/>
      <c r="G26" s="185"/>
      <c r="H26" s="185"/>
      <c r="I26" s="185"/>
    </row>
    <row r="27" spans="1:9" s="186" customFormat="1" ht="14">
      <c r="A27" s="187">
        <f t="shared" si="2"/>
        <v>-3</v>
      </c>
      <c r="B27" s="184">
        <f t="shared" si="2"/>
        <v>223</v>
      </c>
      <c r="C27" s="184">
        <f>IF(A27&lt;0,($F$6+A27)/$F$6,0)</f>
        <v>0.4</v>
      </c>
      <c r="D27" s="184">
        <f t="shared" si="3"/>
        <v>89.2</v>
      </c>
      <c r="E27" s="192">
        <f t="shared" si="1"/>
        <v>44.6</v>
      </c>
      <c r="F27" s="185"/>
      <c r="G27" s="185"/>
      <c r="H27" s="185"/>
      <c r="I27" s="185"/>
    </row>
    <row r="28" spans="1:9" s="186" customFormat="1" ht="14">
      <c r="A28" s="187">
        <f t="shared" si="2"/>
        <v>-4</v>
      </c>
      <c r="B28" s="184">
        <f t="shared" si="2"/>
        <v>218</v>
      </c>
      <c r="C28" s="184">
        <f t="shared" ref="C28:C34" si="4">IF(A28&lt;0,($F$6+A28)/$F$6,0)</f>
        <v>0.2</v>
      </c>
      <c r="D28" s="184">
        <f t="shared" si="3"/>
        <v>43.6</v>
      </c>
      <c r="E28" s="192">
        <f t="shared" si="1"/>
        <v>43.6</v>
      </c>
      <c r="F28" s="185"/>
      <c r="G28" s="185"/>
      <c r="H28" s="185"/>
      <c r="I28" s="185"/>
    </row>
    <row r="29" spans="1:9" s="186" customFormat="1" ht="14">
      <c r="A29" s="187">
        <f t="shared" si="2"/>
        <v>-5</v>
      </c>
      <c r="B29" s="184">
        <f t="shared" si="2"/>
        <v>227</v>
      </c>
      <c r="C29" s="184">
        <f t="shared" si="4"/>
        <v>0</v>
      </c>
      <c r="D29" s="184">
        <f t="shared" si="3"/>
        <v>0</v>
      </c>
      <c r="E29" s="192">
        <f t="shared" si="1"/>
        <v>45.4</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422</v>
      </c>
      <c r="D35" s="195">
        <f>SUM(D24:D34)</f>
        <v>687.2</v>
      </c>
      <c r="E35" s="25">
        <f>SUM(E25:E34)</f>
        <v>225.2</v>
      </c>
    </row>
    <row r="36" spans="1:9" ht="13" thickBot="1"/>
    <row r="37" spans="1:9" s="8" customFormat="1" ht="15" thickBot="1">
      <c r="A37" s="8" t="s">
        <v>423</v>
      </c>
      <c r="D37" s="195">
        <f>E35</f>
        <v>225.2</v>
      </c>
    </row>
    <row r="38" spans="1:9" s="8" customFormat="1" ht="15" thickBot="1"/>
    <row r="39" spans="1:9" s="8" customFormat="1" ht="14">
      <c r="A39" s="8" t="s">
        <v>424</v>
      </c>
      <c r="D39" s="196">
        <f>F7-D37</f>
        <v>7.8000000000000114</v>
      </c>
      <c r="E39" s="8" t="s">
        <v>425</v>
      </c>
    </row>
    <row r="40" spans="1:9" ht="14">
      <c r="A40" t="s">
        <v>426</v>
      </c>
      <c r="D40" s="197">
        <f>D39*'Input sheet'!B22</f>
        <v>1.9500000000000028</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B13" sqref="B13"/>
    </sheetView>
  </sheetViews>
  <sheetFormatPr baseColWidth="10" defaultRowHeight="12"/>
  <sheetData>
    <row r="1" spans="1:11" s="6" customFormat="1" ht="19">
      <c r="A1" s="29" t="s">
        <v>117</v>
      </c>
      <c r="B1" s="29"/>
      <c r="C1" s="29"/>
      <c r="D1" s="29"/>
      <c r="E1" s="29"/>
      <c r="F1" s="29"/>
      <c r="G1" s="29"/>
      <c r="H1" s="29"/>
      <c r="I1" s="29"/>
      <c r="J1" s="29"/>
      <c r="K1" s="29"/>
    </row>
    <row r="2" spans="1:11" s="6" customFormat="1" ht="19">
      <c r="A2" s="29" t="s">
        <v>162</v>
      </c>
      <c r="B2" s="29"/>
      <c r="C2" s="29"/>
      <c r="D2" s="29"/>
      <c r="E2" s="29"/>
      <c r="F2" s="29"/>
      <c r="G2" s="29"/>
      <c r="H2" s="29"/>
      <c r="I2" s="29"/>
      <c r="J2" s="29"/>
      <c r="K2" s="29"/>
    </row>
    <row r="3" spans="1:11" s="17" customFormat="1" ht="14">
      <c r="A3" s="17" t="s">
        <v>6</v>
      </c>
    </row>
    <row r="4" spans="1:11" s="8" customFormat="1" ht="14">
      <c r="A4" s="8" t="s">
        <v>118</v>
      </c>
      <c r="E4" s="33">
        <v>258.60000000000002</v>
      </c>
    </row>
    <row r="5" spans="1:11" s="15" customFormat="1" ht="14">
      <c r="A5" s="15" t="s">
        <v>119</v>
      </c>
    </row>
    <row r="6" spans="1:11" s="8" customFormat="1" ht="14">
      <c r="A6" s="30" t="s">
        <v>120</v>
      </c>
      <c r="B6" s="30" t="s">
        <v>121</v>
      </c>
      <c r="C6" s="8" t="s">
        <v>122</v>
      </c>
    </row>
    <row r="7" spans="1:11" s="8" customFormat="1" ht="14">
      <c r="A7" s="30">
        <v>1</v>
      </c>
      <c r="B7" s="327">
        <v>215.63399999999999</v>
      </c>
    </row>
    <row r="8" spans="1:11" s="8" customFormat="1" ht="14">
      <c r="A8" s="30">
        <v>2</v>
      </c>
      <c r="B8" s="327">
        <v>185.90199999999999</v>
      </c>
    </row>
    <row r="9" spans="1:11" s="8" customFormat="1" ht="14">
      <c r="A9" s="30">
        <v>3</v>
      </c>
      <c r="B9" s="327">
        <v>152.512</v>
      </c>
    </row>
    <row r="10" spans="1:11" s="8" customFormat="1" ht="14">
      <c r="A10" s="30">
        <v>4</v>
      </c>
      <c r="B10" s="327">
        <v>129.67500000000001</v>
      </c>
    </row>
    <row r="11" spans="1:11" s="8" customFormat="1" ht="14">
      <c r="A11" s="30">
        <v>5</v>
      </c>
      <c r="B11" s="327">
        <v>98.319000000000003</v>
      </c>
    </row>
    <row r="12" spans="1:11" s="8" customFormat="1" ht="14">
      <c r="A12" s="30" t="s">
        <v>123</v>
      </c>
      <c r="B12" s="326">
        <v>218.482</v>
      </c>
    </row>
    <row r="13" spans="1:11" s="8" customFormat="1" ht="14"/>
    <row r="14" spans="1:11" s="31" customFormat="1" ht="17" thickBot="1">
      <c r="A14" s="31" t="s">
        <v>124</v>
      </c>
    </row>
    <row r="15" spans="1:11" s="8" customFormat="1" ht="15" thickBot="1">
      <c r="A15" s="8" t="s">
        <v>125</v>
      </c>
      <c r="C15" s="80">
        <f>'Cost of capital worksheet'!B25</f>
        <v>2.92E-2</v>
      </c>
      <c r="D15" s="8" t="s">
        <v>237</v>
      </c>
    </row>
    <row r="16" spans="1:11" s="8" customFormat="1" ht="14"/>
    <row r="17" spans="1:7" s="8" customFormat="1" ht="14">
      <c r="D17" s="34"/>
    </row>
    <row r="18" spans="1:7" s="8" customFormat="1" ht="14">
      <c r="A18" s="8" t="s">
        <v>126</v>
      </c>
      <c r="D18" s="35">
        <f>IF(B12&gt;0,ROUND(B12/AVERAGE(B7:B11),0),0)</f>
        <v>1</v>
      </c>
      <c r="E18" s="8" t="s">
        <v>127</v>
      </c>
    </row>
    <row r="19" spans="1:7" s="17" customFormat="1" ht="14">
      <c r="E19" s="8" t="s">
        <v>128</v>
      </c>
    </row>
    <row r="20" spans="1:7" s="15" customFormat="1" ht="14">
      <c r="A20" s="15" t="s">
        <v>129</v>
      </c>
    </row>
    <row r="21" spans="1:7" s="8" customFormat="1" ht="14">
      <c r="A21" s="30" t="s">
        <v>120</v>
      </c>
      <c r="B21" s="30" t="s">
        <v>121</v>
      </c>
      <c r="C21" s="30" t="s">
        <v>130</v>
      </c>
    </row>
    <row r="22" spans="1:7" s="8" customFormat="1" ht="14">
      <c r="A22" s="19">
        <f>A7</f>
        <v>1</v>
      </c>
      <c r="B22" s="28">
        <f>B7</f>
        <v>215.63399999999999</v>
      </c>
      <c r="C22" s="9">
        <f>B22/(1+$C$15)^A22</f>
        <v>209.51612903225808</v>
      </c>
    </row>
    <row r="23" spans="1:7" s="8" customFormat="1" ht="14">
      <c r="A23" s="19">
        <f t="shared" ref="A23:B26" si="0">A8</f>
        <v>2</v>
      </c>
      <c r="B23" s="28">
        <f t="shared" si="0"/>
        <v>185.90199999999999</v>
      </c>
      <c r="C23" s="9">
        <f>B23/(1+$C$15)^A23</f>
        <v>175.50298482144925</v>
      </c>
    </row>
    <row r="24" spans="1:7" s="8" customFormat="1" ht="14">
      <c r="A24" s="19">
        <f t="shared" si="0"/>
        <v>3</v>
      </c>
      <c r="B24" s="28">
        <f t="shared" si="0"/>
        <v>152.512</v>
      </c>
      <c r="C24" s="9">
        <f>B24/(1+$C$15)^A24</f>
        <v>139.89580243740826</v>
      </c>
    </row>
    <row r="25" spans="1:7" s="8" customFormat="1" ht="14">
      <c r="A25" s="19">
        <f t="shared" si="0"/>
        <v>4</v>
      </c>
      <c r="B25" s="28">
        <f t="shared" si="0"/>
        <v>129.67500000000001</v>
      </c>
      <c r="C25" s="9">
        <f>B25/(1+$C$15)^A25</f>
        <v>115.57320220572019</v>
      </c>
    </row>
    <row r="26" spans="1:7" s="8" customFormat="1" ht="14">
      <c r="A26" s="19">
        <f t="shared" si="0"/>
        <v>5</v>
      </c>
      <c r="B26" s="28">
        <f t="shared" si="0"/>
        <v>98.319000000000003</v>
      </c>
      <c r="C26" s="9">
        <f>B26/(1+$C$15)^A26</f>
        <v>85.14096436990863</v>
      </c>
    </row>
    <row r="27" spans="1:7" s="8" customFormat="1" ht="15" thickBot="1">
      <c r="A27" s="36" t="str">
        <f>A12</f>
        <v>6 and beyond</v>
      </c>
      <c r="B27" s="37">
        <f>IF(B12&gt;0,IF(D18&gt;0,B12/D18,B12),0)</f>
        <v>218.482</v>
      </c>
      <c r="C27" s="38">
        <f>IF(D18&gt;0,(B27*(1-(1+C15)^(-D18))/C15)/(1+$C$15)^5,B27/(1+C15)^6)</f>
        <v>183.83025832398798</v>
      </c>
      <c r="D27" s="8" t="s">
        <v>131</v>
      </c>
    </row>
    <row r="28" spans="1:7" s="8" customFormat="1" ht="15" thickBot="1">
      <c r="A28" s="32" t="s">
        <v>132</v>
      </c>
      <c r="B28" s="39"/>
      <c r="C28" s="40">
        <f>SUM(C22:C27)</f>
        <v>909.4593411907324</v>
      </c>
    </row>
    <row r="29" spans="1:7" s="8" customFormat="1" ht="14"/>
    <row r="30" spans="1:7" s="8" customFormat="1" ht="14">
      <c r="A30" s="15" t="s">
        <v>133</v>
      </c>
    </row>
    <row r="31" spans="1:7" s="8" customFormat="1" ht="15" thickBot="1">
      <c r="A31" s="8" t="s">
        <v>134</v>
      </c>
      <c r="F31" s="38">
        <f>C28/(5+D18)</f>
        <v>151.57655686512206</v>
      </c>
      <c r="G31" s="8" t="s">
        <v>135</v>
      </c>
    </row>
    <row r="32" spans="1:7" s="8" customFormat="1" ht="15" thickBot="1">
      <c r="A32" s="8" t="s">
        <v>136</v>
      </c>
      <c r="F32" s="81">
        <f>E4-F31</f>
        <v>107.02344313487797</v>
      </c>
      <c r="G32" s="8" t="s">
        <v>138</v>
      </c>
    </row>
    <row r="33" spans="1:7" s="8" customFormat="1" ht="15" thickBot="1">
      <c r="A33" s="8" t="s">
        <v>137</v>
      </c>
      <c r="F33" s="41">
        <f>C28</f>
        <v>909.4593411907324</v>
      </c>
      <c r="G33" s="8" t="s">
        <v>139</v>
      </c>
    </row>
    <row r="34" spans="1:7" ht="14">
      <c r="A34" s="8" t="s">
        <v>498</v>
      </c>
      <c r="F34" s="241">
        <f>C28/(5+D18)</f>
        <v>151.57655686512206</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2020-01-14T04:35:48Z</dcterms:modified>
</cp:coreProperties>
</file>