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6AE42BD8-527E-E54C-B2AA-0F7C122C4C55}"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15" i="18" s="1"/>
  <c r="C23" i="18" l="1"/>
  <c r="C24" i="18"/>
  <c r="C27" i="18"/>
  <c r="C26" i="18"/>
  <c r="C25" i="18"/>
  <c r="C22" i="18"/>
  <c r="C41" i="19"/>
  <c r="C42" i="19"/>
  <c r="C44" i="19" s="1"/>
  <c r="C50" i="19"/>
  <c r="C28" i="18" l="1"/>
  <c r="F33" i="18" s="1"/>
  <c r="B25" i="13" l="1"/>
  <c r="D34" i="28" s="1"/>
  <c r="F34" i="18"/>
  <c r="F6" i="20"/>
  <c r="F31" i="18"/>
  <c r="F32" i="18" s="1"/>
  <c r="B33" i="19"/>
  <c r="C43" i="19" s="1"/>
  <c r="C48" i="19" s="1"/>
  <c r="B39" i="13"/>
  <c r="B5" i="13"/>
  <c r="F5" i="20"/>
  <c r="D9" i="20" l="1"/>
  <c r="D10" i="20" s="1"/>
  <c r="G15" i="29"/>
  <c r="I25" i="11"/>
  <c r="B27" i="11" s="1"/>
  <c r="B2" i="12"/>
  <c r="B5" i="12"/>
  <c r="B4" i="13"/>
  <c r="N5" i="13"/>
  <c r="B7" i="13"/>
  <c r="C45" i="19"/>
  <c r="B50" i="19" s="1"/>
  <c r="E48" i="19"/>
  <c r="D11" i="20" l="1"/>
  <c r="D13" i="20" s="1"/>
  <c r="D49" i="19"/>
  <c r="B49" i="19"/>
  <c r="C49" i="19"/>
  <c r="C38" i="13"/>
  <c r="D12" i="28"/>
  <c r="F4" i="13"/>
  <c r="D2" i="29"/>
  <c r="E2" i="29" s="1"/>
  <c r="I24" i="11"/>
  <c r="C4" i="13"/>
  <c r="D4" i="13"/>
  <c r="B10" i="28"/>
  <c r="C10" i="28" s="1"/>
  <c r="G4" i="13"/>
  <c r="E4" i="13"/>
  <c r="B40" i="13"/>
  <c r="B13" i="28" s="1"/>
  <c r="H2" i="29"/>
  <c r="B15" i="29" s="1"/>
  <c r="H15" i="29" s="1"/>
  <c r="I26" i="11"/>
  <c r="G2" i="29" l="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C14" i="28" l="1"/>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s="1"/>
  <c r="B18" i="29" l="1"/>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B31" i="13" s="1"/>
  <c r="B33" i="13" s="1"/>
  <c r="B9" i="12" l="1"/>
  <c r="B10" i="12" s="1"/>
  <c r="B35" i="13"/>
  <c r="D33" i="28"/>
  <c r="D36" i="28" s="1"/>
  <c r="D39" i="28" s="1"/>
  <c r="B21" i="14"/>
  <c r="B20" i="14"/>
  <c r="B23" i="14"/>
  <c r="B24" i="14"/>
  <c r="C15"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<sst xmlns="http://schemas.openxmlformats.org/spreadsheetml/2006/main" count="1396" uniqueCount="765">
  <si>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</si>
  <si>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</si>
  <si>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</si>
  <si>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</si>
  <si>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</si>
  <si>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</si>
  <si>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</si>
  <si>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</si>
  <si>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</si>
  <si>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</si>
  <si>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</si>
  <si>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</si>
  <si>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</si>
  <si>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</si>
  <si>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</si>
  <si>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</si>
  <si>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</si>
  <si>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</si>
  <si>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</si>
  <si>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</si>
  <si>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</si>
  <si>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</si>
  <si>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</si>
  <si>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</si>
  <si>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</si>
  <si>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</si>
  <si>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</si>
  <si>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</si>
  <si>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</si>
  <si>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</si>
  <si>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</si>
  <si>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</si>
  <si>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</si>
  <si>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</si>
  <si>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</si>
  <si>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</si>
  <si>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</si>
  <si>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</si>
  <si>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</si>
  <si>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</si>
  <si>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</si>
  <si>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</si>
  <si>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</si>
  <si>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</si>
  <si>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</si>
  <si>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</si>
  <si>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</si>
  <si>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</si>
  <si>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</si>
  <si>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</si>
  <si>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</si>
  <si>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</si>
  <si>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</si>
  <si>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</si>
  <si>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</si>
  <si>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</si>
  <si>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</si>
  <si>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</si>
  <si>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</si>
  <si>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</si>
  <si>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</si>
  <si>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</si>
  <si>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</si>
  <si>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</si>
  <si>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</si>
  <si>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</si>
  <si>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</si>
  <si>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</si>
  <si>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</si>
  <si>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</si>
  <si>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</si>
  <si>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</si>
  <si>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</si>
  <si>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</si>
  <si>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</si>
  <si>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</si>
  <si>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</si>
  <si>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</si>
  <si>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</si>
  <si>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</si>
  <si>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</si>
  <si>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</si>
  <si>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</si>
  <si>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</si>
  <si>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</si>
  <si>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</si>
  <si>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</si>
  <si>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</si>
  <si>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</si>
  <si>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</si>
  <si>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</si>
  <si>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</si>
  <si>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</si>
  <si>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</si>
  <si>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</si>
  <si>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</si>
  <si>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</si>
  <si>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</si>
  <si>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</si>
  <si>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</si>
  <si>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</si>
  <si>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</si>
  <si>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</si>
  <si>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</si>
  <si>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</si>
  <si>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</si>
  <si>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</si>
  <si>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</si>
  <si>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</si>
  <si>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</si>
  <si>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</si>
  <si>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</si>
  <si>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</si>
  <si>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</si>
  <si>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</si>
  <si>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</si>
  <si>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</si>
  <si>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</si>
  <si>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</si>
  <si>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</si>
  <si>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</si>
  <si>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</si>
  <si>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</si>
  <si>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</si>
  <si>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</si>
  <si>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</si>
  <si>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</si>
  <si>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</si>
  <si>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</si>
  <si>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</si>
  <si>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</si>
  <si>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</si>
  <si>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</si>
  <si>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</si>
  <si>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</si>
  <si>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</si>
  <si>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</si>
  <si>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</si>
  <si>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</si>
  <si>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</si>
  <si>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</si>
  <si>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</si>
  <si>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</si>
  <si>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</si>
  <si>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</si>
  <si>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</si>
  <si>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</si>
  <si>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</si>
  <si>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</si>
  <si>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</si>
  <si>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</si>
  <si>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</si>
  <si>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</si>
  <si>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</si>
  <si>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</si>
  <si>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</si>
  <si>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</si>
  <si>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</si>
  <si>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</si>
  <si>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</si>
  <si>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</si>
  <si>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</si>
  <si>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</si>
  <si>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</si>
  <si>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</si>
  <si>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</si>
  <si>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</si>
  <si>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</si>
  <si>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</si>
  <si>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</si>
  <si>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</si>
  <si>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</si>
  <si>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</si>
  <si>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</si>
  <si>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</si>
  <si>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</si>
  <si>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</si>
  <si>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</si>
  <si>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</si>
  <si>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</si>
  <si>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</si>
  <si>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</si>
  <si>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</si>
  <si>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</si>
  <si>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</si>
  <si>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</si>
  <si>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</si>
  <si>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</si>
  <si>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</si>
  <si>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</si>
  <si>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</si>
  <si>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</si>
  <si>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</si>
  <si>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</si>
  <si>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</si>
  <si>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</si>
  <si>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</si>
  <si>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</si>
  <si>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</si>
  <si>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</si>
  <si>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</si>
  <si>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</si>
  <si>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</si>
  <si>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</si>
  <si>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</si>
  <si>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</si>
  <si>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</si>
  <si>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</si>
  <si>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</si>
  <si>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</si>
  <si>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</si>
  <si>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</si>
  <si>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</si>
  <si>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</si>
  <si>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</si>
  <si>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</si>
  <si>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</si>
  <si>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</si>
  <si>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</si>
  <si>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</si>
  <si>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</si>
  <si>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</si>
  <si>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</si>
  <si>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</si>
  <si>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</si>
  <si>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</si>
  <si>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</si>
  <si>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</si>
  <si>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</si>
  <si>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</si>
  <si>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</si>
  <si>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</si>
  <si>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</si>
  <si>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</si>
  <si>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</si>
  <si>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</si>
  <si>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</si>
  <si>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</si>
  <si>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</si>
  <si>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</si>
  <si>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</si>
  <si>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</si>
  <si>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</si>
  <si>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</si>
  <si>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</si>
  <si>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</si>
  <si>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</si>
  <si>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</si>
  <si>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</si>
  <si>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</si>
  <si>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</si>
  <si>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</si>
  <si>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</si>
  <si>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</si>
  <si>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</si>
  <si>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</si>
  <si>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</si>
  <si>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</si>
  <si>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</si>
  <si>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</si>
  <si>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</si>
  <si>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</si>
  <si>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</si>
  <si>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</si>
  <si>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</si>
  <si>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</si>
  <si>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</si>
  <si>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</si>
  <si>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</si>
  <si>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</si>
  <si>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</si>
  <si>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</si>
  <si>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</si>
  <si>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</si>
  <si>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</si>
  <si>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</si>
  <si>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</si>
  <si>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</si>
  <si>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</si>
  <si>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</si>
  <si>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</si>
  <si>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</si>
  <si>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</si>
  <si>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</si>
  <si>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</si>
  <si>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</si>
  <si>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</si>
  <si>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</si>
  <si>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</si>
  <si>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</si>
  <si>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</si>
  <si>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</si>
  <si>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</si>
  <si>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</si>
  <si>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</si>
  <si>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</si>
  <si>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</si>
  <si>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</si>
  <si>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</si>
  <si>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</si>
  <si>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</si>
  <si>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</si>
  <si>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</si>
  <si>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</si>
  <si>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</si>
  <si>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</si>
  <si>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</si>
  <si>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</si>
  <si>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</si>
  <si>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</si>
  <si>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</si>
  <si>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</si>
  <si>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</si>
  <si>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</si>
  <si>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</si>
  <si>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</si>
  <si>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</si>
  <si>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</si>
  <si>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</si>
  <si>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</si>
  <si>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</si>
  <si>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</si>
  <si>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</si>
  <si>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</si>
  <si>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</si>
  <si>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</si>
  <si>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</si>
  <si>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</si>
  <si>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</si>
  <si>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</si>
  <si>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</si>
  <si>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</si>
  <si>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</si>
  <si>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</si>
  <si>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</si>
  <si>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</si>
  <si>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</si>
  <si>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</si>
  <si>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</si>
  <si>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</si>
  <si>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</si>
  <si>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</si>
  <si>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</si>
  <si>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</si>
  <si>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</si>
  <si>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</si>
  <si>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</si>
  <si>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</si>
  <si>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</si>
  <si>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</si>
  <si>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</si>
  <si>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</si>
  <si>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</si>
  <si>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</si>
  <si>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</si>
  <si>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</si>
  <si>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</si>
  <si>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</si>
  <si>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</si>
  <si>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</si>
  <si>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</si>
  <si>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</si>
  <si>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</si>
  <si>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</si>
  <si>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</si>
  <si>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</si>
  <si>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</si>
  <si>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</si>
  <si>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</si>
  <si>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</si>
  <si>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</si>
  <si>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</si>
  <si>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</si>
  <si>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</si>
  <si>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</si>
  <si>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</si>
  <si>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</si>
  <si>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</si>
  <si>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</si>
  <si>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</si>
  <si>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</si>
  <si>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</si>
  <si>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</si>
  <si>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</si>
  <si>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</si>
  <si>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</si>
  <si>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</si>
  <si>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</si>
  <si>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</si>
  <si>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</si>
  <si>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</si>
  <si>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</si>
  <si>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</si>
  <si>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</si>
  <si>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</si>
  <si>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</si>
  <si>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</si>
  <si>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</si>
  <si>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</si>
  <si>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</si>
  <si>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</si>
  <si>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</si>
  <si>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</si>
  <si>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</si>
  <si>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</si>
  <si>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</si>
  <si>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</si>
  <si>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</si>
  <si>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</si>
  <si>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</si>
  <si>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</si>
  <si>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</si>
  <si>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</si>
  <si>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</si>
  <si>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</si>
  <si>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</si>
  <si>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</si>
  <si>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</si>
  <si>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</si>
  <si>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</si>
  <si>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</si>
  <si>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</si>
  <si>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</si>
  <si>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</si>
  <si>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</si>
  <si>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</si>
  <si>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</si>
  <si>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</si>
  <si>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</si>
  <si>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</si>
  <si>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</si>
  <si>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</si>
  <si>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</si>
  <si>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</si>
  <si>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</si>
  <si>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</si>
  <si>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</si>
  <si>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</si>
  <si>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</si>
  <si>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</si>
  <si>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</si>
  <si>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</si>
  <si>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</si>
  <si>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</si>
  <si>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</si>
  <si>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</si>
  <si>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</si>
  <si>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</si>
  <si>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</si>
  <si>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</si>
  <si>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</si>
  <si>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</si>
  <si>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</si>
  <si>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</si>
  <si>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</si>
  <si>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</si>
  <si>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</si>
  <si>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</si>
  <si>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</si>
  <si>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</si>
  <si>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</si>
  <si>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</si>
  <si>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</si>
  <si>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</si>
  <si>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</si>
  <si>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</si>
  <si>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</si>
  <si>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</si>
  <si>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</si>
  <si>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</si>
  <si>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</si>
  <si>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</si>
  <si>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</si>
  <si>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</si>
  <si>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</si>
  <si>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</si>
  <si>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</si>
  <si>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</si>
  <si>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</si>
  <si>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</si>
  <si>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</si>
  <si>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</si>
  <si>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</si>
  <si>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</si>
  <si>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</si>
  <si>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</si>
  <si>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</si>
  <si>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</si>
  <si>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</si>
  <si>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</si>
  <si>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</si>
  <si>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</si>
  <si>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</si>
  <si>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</si>
  <si>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</si>
  <si>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</si>
  <si>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</si>
  <si>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</si>
  <si>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</si>
  <si>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</si>
  <si>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</si>
  <si>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</si>
  <si>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</si>
  <si>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</si>
  <si>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</si>
  <si>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</si>
  <si>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</si>
  <si>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</si>
  <si>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</si>
  <si>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</si>
  <si>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</si>
  <si>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</si>
  <si>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</si>
  <si>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</si>
  <si>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</si>
  <si>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</si>
  <si>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</si>
  <si>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</si>
  <si>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</si>
  <si>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</si>
  <si>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</si>
  <si>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</si>
  <si>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</si>
  <si>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</si>
  <si>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</si>
  <si>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</si>
  <si>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</si>
  <si>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</si>
  <si>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</si>
  <si>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</si>
  <si>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</si>
  <si>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</si>
  <si>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</si>
  <si>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</si>
  <si>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</si>
  <si>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</si>
  <si>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</si>
  <si>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</si>
  <si>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</si>
  <si>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</si>
  <si>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</si>
  <si>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</si>
  <si>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</si>
  <si>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</si>
  <si>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</si>
  <si>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</si>
  <si>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</si>
  <si>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</si>
  <si>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</si>
  <si>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</si>
  <si>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</si>
  <si>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</si>
  <si>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</si>
  <si>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</si>
  <si>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</si>
  <si>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</si>
  <si>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</si>
  <si>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</si>
  <si>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</si>
  <si>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</si>
  <si>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</si>
  <si>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</si>
  <si>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</si>
  <si>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</si>
  <si>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</si>
  <si>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</si>
  <si>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</si>
  <si>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</si>
  <si>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</si>
  <si>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</si>
  <si>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</si>
  <si>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</si>
  <si>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</si>
  <si>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</si>
  <si>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</si>
  <si>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</si>
  <si>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</si>
  <si>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</si>
  <si>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</si>
  <si>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</si>
  <si>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</si>
  <si>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</si>
  <si>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</si>
  <si>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</si>
  <si>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</si>
  <si>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</si>
  <si>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</si>
  <si>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</si>
  <si>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</si>
  <si>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</si>
  <si>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</si>
  <si>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</si>
  <si>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</si>
  <si>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</si>
  <si>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</si>
  <si>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</si>
  <si>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</si>
  <si>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</si>
  <si>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</si>
  <si>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</si>
  <si>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</si>
  <si>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</si>
  <si>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</si>
  <si>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</si>
  <si>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</si>
  <si>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</si>
  <si>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</si>
  <si>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</si>
  <si>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</si>
  <si>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</si>
  <si>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</si>
  <si>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</si>
  <si>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</si>
  <si>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</si>
  <si>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</si>
  <si>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</si>
  <si>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</si>
  <si>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</si>
  <si>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</si>
  <si>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</si>
  <si>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</si>
  <si>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</si>
  <si>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</si>
  <si>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</si>
  <si>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</si>
  <si>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</si>
  <si>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</si>
  <si>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</si>
  <si>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</si>
  <si>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</si>
  <si>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</si>
  <si>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</si>
  <si>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</si>
  <si>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</si>
  <si>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</si>
  <si>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</si>
  <si>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</si>
  <si>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</si>
  <si>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</si>
  <si>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</si>
  <si>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</si>
  <si>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</si>
  <si>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</si>
  <si>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</si>
  <si>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</si>
  <si>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</si>
  <si>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</si>
  <si>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</si>
  <si>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</si>
  <si>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</si>
  <si>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</si>
  <si>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</si>
  <si>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</si>
  <si>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</si>
  <si>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</si>
  <si>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</si>
  <si>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</si>
  <si>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</si>
  <si>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</si>
  <si>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</si>
  <si>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</si>
  <si>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</si>
  <si>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</si>
  <si>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</si>
  <si>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</si>
  <si>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</si>
  <si>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</si>
  <si>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</si>
  <si>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</si>
  <si>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</si>
  <si>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</si>
  <si>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</si>
  <si>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</si>
  <si>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</si>
  <si>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</si>
  <si>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</si>
  <si>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</si>
  <si>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</si>
  <si>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</si>
  <si>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</si>
  <si>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</si>
  <si>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</si>
  <si>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</si>
  <si>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</si>
  <si>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</si>
  <si>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</si>
  <si>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</si>
  <si>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</si>
  <si>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</si>
  <si>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</si>
  <si>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</si>
  <si>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</si>
  <si>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</si>
  <si>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</si>
  <si>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</si>
  <si>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</si>
  <si>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</si>
  <si>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</si>
  <si>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</si>
  <si>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</si>
  <si>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</si>
  <si>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</si>
  <si>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</si>
  <si>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</si>
  <si>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</si>
  <si>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</si>
  <si>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</si>
  <si>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</si>
  <si>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</si>
  <si>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</si>
  <si>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</si>
  <si>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</si>
  <si>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</si>
  <si>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</si>
  <si>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</si>
  <si>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</si>
  <si>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</si>
  <si>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</si>
  <si>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</si>
  <si>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</si>
  <si>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</si>
  <si>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</si>
  <si>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</si>
  <si>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</si>
  <si>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</si>
  <si>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</si>
  <si>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</si>
  <si>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</si>
  <si>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</si>
  <si>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</si>
  <si>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</si>
  <si>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</si>
  <si>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</si>
  <si>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</si>
  <si>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</si>
  <si>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</si>
  <si>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</si>
  <si>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</si>
  <si>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</si>
  <si>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</si>
  <si>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</si>
  <si>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</si>
  <si>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</si>
  <si>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</si>
  <si>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</si>
  <si>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</si>
  <si>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</si>
  <si>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</si>
  <si>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</si>
  <si>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</si>
  <si>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</si>
  <si>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</si>
  <si>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</si>
  <si>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</si>
  <si>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</si>
  <si>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</si>
  <si>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</si>
  <si>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</si>
  <si>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</si>
  <si>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</si>
  <si>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</si>
  <si>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</si>
  <si>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</si>
  <si>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</si>
  <si>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Polaris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</si>
</sst>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5" sqref="B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42381</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557</v>
      </c>
      <c r="C6" s="82"/>
      <c r="D6" s="82"/>
      <c r="E6" s="82"/>
      <c r="F6" s="82"/>
      <c r="G6" s="82"/>
      <c r="H6" s="82"/>
      <c r="I6" s="82"/>
    </row>
    <row r="7" spans="1:10" s="56" customFormat="1" ht="13">
      <c r="A7" s="156" t="s">
        <v>439</v>
      </c>
      <c r="B7" s="157" t="s">
        <v>557</v>
      </c>
      <c r="C7" s="246" t="s">
        <v>397</v>
      </c>
      <c r="D7" s="246" t="s">
        <v>624</v>
      </c>
      <c r="E7" s="82"/>
      <c r="F7" s="82"/>
      <c r="G7" s="82"/>
      <c r="H7" s="82"/>
      <c r="I7" s="82"/>
    </row>
    <row r="8" spans="1:10" s="56" customFormat="1" ht="13">
      <c r="A8" s="60" t="s">
        <v>11</v>
      </c>
      <c r="B8" s="61">
        <v>15234</v>
      </c>
      <c r="C8" s="85">
        <v>14863</v>
      </c>
      <c r="D8" s="245">
        <v>0.25</v>
      </c>
    </row>
    <row r="9" spans="1:10" s="56" customFormat="1" ht="13">
      <c r="A9" s="60" t="s">
        <v>29</v>
      </c>
      <c r="B9" s="61">
        <v>2712</v>
      </c>
      <c r="C9" s="85">
        <v>2602</v>
      </c>
      <c r="D9" s="245">
        <v>0.25</v>
      </c>
    </row>
    <row r="10" spans="1:10" s="56" customFormat="1" ht="13">
      <c r="A10" s="60" t="s">
        <v>441</v>
      </c>
      <c r="B10" s="85">
        <v>131</v>
      </c>
      <c r="C10" s="85">
        <v>133</v>
      </c>
      <c r="D10" s="62"/>
    </row>
    <row r="11" spans="1:10" s="56" customFormat="1" ht="13">
      <c r="A11" s="60" t="s">
        <v>30</v>
      </c>
      <c r="B11" s="61">
        <v>4558</v>
      </c>
      <c r="C11" s="85">
        <v>4411</v>
      </c>
      <c r="D11" s="62"/>
    </row>
    <row r="12" spans="1:10" s="56" customFormat="1" ht="13">
      <c r="A12" s="60" t="s">
        <v>31</v>
      </c>
      <c r="B12" s="61">
        <v>6096</v>
      </c>
      <c r="C12" s="85">
        <v>3412</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2263</v>
      </c>
      <c r="C15" s="85">
        <v>2990</v>
      </c>
      <c r="D15" s="62"/>
    </row>
    <row r="16" spans="1:10" s="56" customFormat="1" ht="13">
      <c r="A16" s="60" t="s">
        <v>608</v>
      </c>
      <c r="B16" s="173">
        <v>0</v>
      </c>
      <c r="C16" s="85">
        <v>0</v>
      </c>
      <c r="D16" s="62"/>
    </row>
    <row r="17" spans="1:11" s="56" customFormat="1" ht="13">
      <c r="A17" s="60" t="s">
        <v>393</v>
      </c>
      <c r="B17" s="173">
        <v>28</v>
      </c>
      <c r="C17" s="85">
        <v>25</v>
      </c>
      <c r="D17" s="62"/>
    </row>
    <row r="18" spans="1:11" s="56" customFormat="1" ht="13">
      <c r="A18" s="60" t="s">
        <v>763</v>
      </c>
      <c r="B18" s="173">
        <v>422</v>
      </c>
      <c r="C18" s="358">
        <v>418</v>
      </c>
      <c r="D18" s="62"/>
    </row>
    <row r="19" spans="1:11" s="56" customFormat="1" ht="14" thickBot="1">
      <c r="A19" s="60" t="s">
        <v>32</v>
      </c>
      <c r="B19" s="158">
        <v>359.81</v>
      </c>
      <c r="C19" s="62"/>
    </row>
    <row r="20" spans="1:11" s="56" customFormat="1" ht="13">
      <c r="A20" s="60" t="s">
        <v>33</v>
      </c>
      <c r="B20" s="61">
        <v>218.49</v>
      </c>
      <c r="C20" s="62"/>
      <c r="E20" s="86" t="s">
        <v>245</v>
      </c>
      <c r="F20" s="54"/>
      <c r="G20" s="54"/>
      <c r="H20" s="54"/>
      <c r="I20" s="54"/>
      <c r="J20" s="54"/>
      <c r="K20" s="55"/>
    </row>
    <row r="21" spans="1:11" s="56" customFormat="1" ht="13">
      <c r="A21" s="63" t="s">
        <v>106</v>
      </c>
      <c r="B21" s="64">
        <v>0.224</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0.10364625480348755</v>
      </c>
      <c r="J23" s="259">
        <f>VLOOKUP(B6,'Industry Average Beta (US)'!A2:S95,3)</f>
        <v>7.3984705882352939E-2</v>
      </c>
      <c r="K23" s="260">
        <f>VLOOKUP(B7,'Industry Average Beta (Global)'!A2:N95,3)</f>
        <v>8.8151624203821569E-2</v>
      </c>
    </row>
    <row r="24" spans="1:11" s="56" customFormat="1" ht="13">
      <c r="A24" s="60" t="s">
        <v>49</v>
      </c>
      <c r="B24" s="67">
        <v>0.1</v>
      </c>
      <c r="C24" s="62" t="s">
        <v>611</v>
      </c>
      <c r="E24" s="87" t="s">
        <v>177</v>
      </c>
      <c r="F24" s="82"/>
      <c r="G24" s="82"/>
      <c r="H24" s="82"/>
      <c r="I24" s="259">
        <f>'Valuation output'!B4</f>
        <v>0.17802284363922805</v>
      </c>
      <c r="J24" s="260">
        <f>VLOOKUP(B6,'Industry Average Beta (US)'!A2:S95,4)</f>
        <v>0.17564992437088853</v>
      </c>
      <c r="K24" s="260">
        <f>VLOOKUP(B7,'Industry Average Beta (Global)'!A2:N95,4)</f>
        <v>0.15643547754494722</v>
      </c>
    </row>
    <row r="25" spans="1:11" s="56" customFormat="1" ht="13">
      <c r="A25" s="60" t="s">
        <v>51</v>
      </c>
      <c r="B25" s="67">
        <v>0.18</v>
      </c>
      <c r="C25" s="62" t="s">
        <v>609</v>
      </c>
      <c r="E25" s="87" t="s">
        <v>178</v>
      </c>
      <c r="F25" s="82"/>
      <c r="G25" s="82"/>
      <c r="H25" s="82"/>
      <c r="I25" s="261">
        <f>B8/'Valuation output'!B39</f>
        <v>1.8155166249553092</v>
      </c>
      <c r="J25" s="261">
        <f>VLOOKUP(B6,'Industry Average Beta (US)'!A2:S95,14)</f>
        <v>1.6442903474198431</v>
      </c>
      <c r="K25" s="261">
        <f>VLOOKUP(B7,'Industry Average Beta (Global)'!A2:N95,14)</f>
        <v>1.6664243637368577</v>
      </c>
    </row>
    <row r="26" spans="1:11" s="56" customFormat="1" ht="13">
      <c r="A26" s="60" t="s">
        <v>685</v>
      </c>
      <c r="B26" s="68">
        <v>5</v>
      </c>
      <c r="C26" s="62" t="s">
        <v>686</v>
      </c>
      <c r="E26" s="87" t="s">
        <v>179</v>
      </c>
      <c r="F26" s="82"/>
      <c r="G26" s="82"/>
      <c r="H26" s="82"/>
      <c r="I26" s="260">
        <f>'Valuation output'!B7/'Valuation output'!B39</f>
        <v>0.25080586342509836</v>
      </c>
      <c r="J26" s="260">
        <f>VLOOKUP(B6,'Industry Average Beta (US)'!A2:S95,5)</f>
        <v>0.26993259594113239</v>
      </c>
      <c r="K26" s="260">
        <f>VLOOKUP(B7,'Industry Average Beta (Global)'!A2:N95,5)</f>
        <v>0.22787536297405656</v>
      </c>
    </row>
    <row r="27" spans="1:11" s="56" customFormat="1" ht="13">
      <c r="A27" s="60" t="s">
        <v>37</v>
      </c>
      <c r="B27" s="68">
        <f>I25</f>
        <v>1.8155166249553092</v>
      </c>
      <c r="C27" s="62" t="s">
        <v>610</v>
      </c>
      <c r="E27" s="87" t="s">
        <v>386</v>
      </c>
      <c r="F27" s="82"/>
      <c r="G27" s="82"/>
      <c r="H27" s="82"/>
      <c r="I27" s="168"/>
      <c r="J27" s="262">
        <f>VLOOKUP(B6,'Industry Average Beta (US)'!A2:S95,10)</f>
        <v>0.54641648342715865</v>
      </c>
      <c r="K27" s="260">
        <f>VLOOKUP(B6,'Industry Average Beta (Global)'!A2:Z95,10)</f>
        <v>0.4139699102309064</v>
      </c>
    </row>
    <row r="28" spans="1:11" s="56" customFormat="1" ht="14" thickBot="1">
      <c r="A28" s="65" t="s">
        <v>36</v>
      </c>
      <c r="B28" s="69"/>
      <c r="C28" s="62"/>
      <c r="E28" s="58" t="s">
        <v>385</v>
      </c>
      <c r="F28" s="59"/>
      <c r="G28" s="59"/>
      <c r="H28" s="59"/>
      <c r="I28" s="59"/>
      <c r="J28" s="263">
        <f>VLOOKUP(B6,'Industry Average Beta (US)'!A2:S95,13)</f>
        <v>8.3702111265422555E-2</v>
      </c>
      <c r="K28" s="260">
        <f>VLOOKUP(B6,'Industry Average Beta (Global)'!A2:Z95,13)</f>
        <v>9.425121383811752E-2</v>
      </c>
    </row>
    <row r="29" spans="1:11" s="56" customFormat="1" ht="14" thickBot="1">
      <c r="A29" s="60" t="s">
        <v>27</v>
      </c>
      <c r="B29" s="67">
        <v>1.7999999999999999E-2</v>
      </c>
      <c r="C29" s="62"/>
    </row>
    <row r="30" spans="1:11" s="56" customFormat="1" ht="13">
      <c r="A30" s="60" t="s">
        <v>39</v>
      </c>
      <c r="B30" s="159">
        <f>'Cost of capital worksheet'!E50</f>
        <v>7.4411063158688603E-2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31959.231085002906</v>
      </c>
    </row>
    <row r="32" spans="1:11" s="56" customFormat="1" ht="13">
      <c r="A32" s="63" t="s">
        <v>248</v>
      </c>
      <c r="B32" s="159" t="s">
        <v>53</v>
      </c>
      <c r="C32"/>
      <c r="D32" s="62"/>
      <c r="E32" s="247" t="s">
        <v>615</v>
      </c>
      <c r="F32" s="63"/>
      <c r="G32" s="63"/>
      <c r="H32" s="63"/>
      <c r="I32" s="63"/>
      <c r="J32" s="258">
        <f>'Valuation output'!M5</f>
        <v>5752.661595300523</v>
      </c>
    </row>
    <row r="33" spans="1:14" s="56" customFormat="1" ht="13">
      <c r="A33" s="63" t="s">
        <v>92</v>
      </c>
      <c r="B33" s="68">
        <v>23.5</v>
      </c>
      <c r="C33" s="257"/>
      <c r="D33" s="62"/>
      <c r="E33" s="247" t="s">
        <v>614</v>
      </c>
      <c r="F33" s="63"/>
      <c r="G33" s="63"/>
      <c r="H33" s="63"/>
      <c r="I33" s="63"/>
      <c r="J33" s="259">
        <f>'Valuation output'!L40</f>
        <v>0.24509474436896669</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2712</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131</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20.702290076335878</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2.5499999999999998E-2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B16" sqref="B16"/>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8.3600000000000008E-2</v>
      </c>
      <c r="I2" s="90">
        <f>G2-((G2-$M$2)/5)*2</f>
        <v>6.720000000000001E-2</v>
      </c>
      <c r="J2" s="90">
        <f>G2-((G2-$M$2)/5)*3</f>
        <v>5.0799999999999998E-2</v>
      </c>
      <c r="K2" s="90">
        <f>G2-((G2-$M$2)/5)*4</f>
        <v>3.44E-2</v>
      </c>
      <c r="L2" s="90">
        <f>G2-((G2-$M$2)/5)*5</f>
        <v>1.8000000000000002E-2</v>
      </c>
      <c r="M2" s="91">
        <f>IF('Input sheet'!B56="Yes",'Input sheet'!B57,'Input sheet'!B29)</f>
        <v>1.7999999999999999E-2</v>
      </c>
    </row>
    <row r="3" spans="1:14" ht="15" customHeight="1">
      <c r="A3" s="45" t="s">
        <v>11</v>
      </c>
      <c r="B3" s="92">
        <f>'Input sheet'!B8</f>
        <v>15234</v>
      </c>
      <c r="C3" s="93">
        <f>B3*(1+C2)</f>
        <v>16757.400000000001</v>
      </c>
      <c r="D3" s="93">
        <f t="shared" ref="D3:L3" si="0">C3*(1+D2)</f>
        <v>18433.140000000003</v>
      </c>
      <c r="E3" s="93">
        <f t="shared" si="0"/>
        <v>20276.454000000005</v>
      </c>
      <c r="F3" s="93">
        <f t="shared" si="0"/>
        <v>22304.099400000006</v>
      </c>
      <c r="G3" s="93">
        <f t="shared" si="0"/>
        <v>24534.509340000008</v>
      </c>
      <c r="H3" s="93">
        <f t="shared" si="0"/>
        <v>26585.59432082401</v>
      </c>
      <c r="I3" s="93">
        <f t="shared" si="0"/>
        <v>28372.146259183381</v>
      </c>
      <c r="J3" s="93">
        <f t="shared" si="0"/>
        <v>29813.451289149896</v>
      </c>
      <c r="K3" s="93">
        <f t="shared" si="0"/>
        <v>30839.034013496654</v>
      </c>
      <c r="L3" s="93">
        <f t="shared" si="0"/>
        <v>31394.136625739593</v>
      </c>
      <c r="M3" s="109">
        <f>L3*(1+M2)</f>
        <v>31959.231085002906</v>
      </c>
    </row>
    <row r="4" spans="1:14" ht="15" customHeight="1">
      <c r="A4" s="45" t="s">
        <v>26</v>
      </c>
      <c r="B4" s="94">
        <f>B5/B3</f>
        <v>0.17802284363922805</v>
      </c>
      <c r="C4" s="90">
        <f>IF(C1&gt;'Input sheet'!$B$26,'Input sheet'!$B$25,'Input sheet'!$B$25-(('Input sheet'!$B$25-$B$4)/'Input sheet'!$B$26)*('Input sheet'!$B$26-C1))</f>
        <v>0.17841827491138243</v>
      </c>
      <c r="D4" s="90">
        <f>IF(D1&gt;'Input sheet'!$B$26,'Input sheet'!$B$25,'Input sheet'!$B$25-(('Input sheet'!$B$25-$B$4)/'Input sheet'!$B$26)*('Input sheet'!$B$26-D1))</f>
        <v>0.17881370618353681</v>
      </c>
      <c r="E4" s="90">
        <f>IF(E1&gt;'Input sheet'!$B$26,'Input sheet'!$B$25,'Input sheet'!$B$25-(('Input sheet'!$B$25-$B$4)/'Input sheet'!$B$26)*('Input sheet'!$B$26-E1))</f>
        <v>0.17920913745569123</v>
      </c>
      <c r="F4" s="90">
        <f>IF(F1&gt;'Input sheet'!$B$26,'Input sheet'!$B$25,'Input sheet'!$B$25-(('Input sheet'!$B$25-$B$4)/'Input sheet'!$B$26)*('Input sheet'!$B$26-F1))</f>
        <v>0.17960456872784561</v>
      </c>
      <c r="G4" s="90">
        <f>IF(G1&gt;'Input sheet'!$B$26,'Input sheet'!$B$25,'Input sheet'!$B$25-(('Input sheet'!$B$25-$B$4)/'Input sheet'!$B$26)*('Input sheet'!$B$26-G1))</f>
        <v>0.18</v>
      </c>
      <c r="H4" s="90">
        <f>IF(H1&gt;'Input sheet'!$B$26,'Input sheet'!$B$25,'Input sheet'!$B$25-(('Input sheet'!$B$25-$B$4)/'Input sheet'!$B$26)*('Input sheet'!$B$26-H1))</f>
        <v>0.18</v>
      </c>
      <c r="I4" s="90">
        <f>IF(I1&gt;'Input sheet'!$B$26,'Input sheet'!$B$25,'Input sheet'!$B$25-(('Input sheet'!$B$25-$B$4)/'Input sheet'!$B$26)*('Input sheet'!$B$26-I1))</f>
        <v>0.18</v>
      </c>
      <c r="J4" s="90">
        <f>IF(J1&gt;'Input sheet'!$B$26,'Input sheet'!$B$25,'Input sheet'!$B$25-(('Input sheet'!$B$25-$B$4)/'Input sheet'!$B$26)*('Input sheet'!$B$26-J1))</f>
        <v>0.18</v>
      </c>
      <c r="K4" s="90">
        <f>IF(K1&gt;'Input sheet'!$B$26,'Input sheet'!$B$25,'Input sheet'!$B$25-(('Input sheet'!$B$25-$B$4)/'Input sheet'!$B$26)*('Input sheet'!$B$26-K1))</f>
        <v>0.18</v>
      </c>
      <c r="L4" s="90">
        <f>IF(L1&gt;'Input sheet'!$B$26,'Input sheet'!$B$25,'Input sheet'!$B$25-(('Input sheet'!$B$25-$B$4)/'Input sheet'!$B$26)*('Input sheet'!$B$26-L1))</f>
        <v>0.18</v>
      </c>
      <c r="M4" s="91">
        <f>L4</f>
        <v>0.18</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2712</v>
      </c>
      <c r="C5" s="93">
        <f t="shared" ref="C5:M5" si="1">C4*C3</f>
        <v>2989.8264000000004</v>
      </c>
      <c r="D5" s="93">
        <f t="shared" si="1"/>
        <v>3296.0980800000002</v>
      </c>
      <c r="E5" s="93">
        <f t="shared" si="1"/>
        <v>3633.725832000001</v>
      </c>
      <c r="F5" s="93">
        <f t="shared" si="1"/>
        <v>4005.918153600001</v>
      </c>
      <c r="G5" s="93">
        <f t="shared" si="1"/>
        <v>4416.2116812000013</v>
      </c>
      <c r="H5" s="93">
        <f t="shared" si="1"/>
        <v>4785.4069777483219</v>
      </c>
      <c r="I5" s="93">
        <f t="shared" si="1"/>
        <v>5106.9863266530083</v>
      </c>
      <c r="J5" s="93">
        <f t="shared" si="1"/>
        <v>5366.4212320469815</v>
      </c>
      <c r="K5" s="93">
        <f t="shared" si="1"/>
        <v>5551.0261224293972</v>
      </c>
      <c r="L5" s="93">
        <f t="shared" si="1"/>
        <v>5650.9445926331264</v>
      </c>
      <c r="M5" s="109">
        <f t="shared" si="1"/>
        <v>5752.661595300523</v>
      </c>
      <c r="N5" s="111">
        <f>M5-B5</f>
        <v>3040.661595300523</v>
      </c>
    </row>
    <row r="6" spans="1:14" ht="15" customHeight="1">
      <c r="A6" s="45" t="s">
        <v>142</v>
      </c>
      <c r="B6" s="95">
        <f>'Input sheet'!B21</f>
        <v>0.224</v>
      </c>
      <c r="C6" s="96">
        <f>B6</f>
        <v>0.224</v>
      </c>
      <c r="D6" s="96">
        <f>C6</f>
        <v>0.224</v>
      </c>
      <c r="E6" s="96">
        <f>D6</f>
        <v>0.224</v>
      </c>
      <c r="F6" s="96">
        <f>E6</f>
        <v>0.224</v>
      </c>
      <c r="G6" s="96">
        <f>F6</f>
        <v>0.224</v>
      </c>
      <c r="H6" s="96">
        <f>G6+($M$6-$G$6)/5</f>
        <v>0.22920000000000001</v>
      </c>
      <c r="I6" s="96">
        <f>H6+($M$6-$G$6)/5</f>
        <v>0.23440000000000003</v>
      </c>
      <c r="J6" s="96">
        <f>I6+($M$6-$G$6)/5</f>
        <v>0.23960000000000004</v>
      </c>
      <c r="K6" s="96">
        <f>J6+($M$6-$G$6)/5</f>
        <v>0.24480000000000005</v>
      </c>
      <c r="L6" s="96">
        <f>K6+($M$6-$G$6)/5</f>
        <v>0.25000000000000006</v>
      </c>
      <c r="M6" s="96">
        <f>IF('Input sheet'!B51="Yes",'Input sheet'!B21,'Input sheet'!B22)</f>
        <v>0.25</v>
      </c>
    </row>
    <row r="7" spans="1:14" ht="15" customHeight="1">
      <c r="A7" s="45" t="s">
        <v>12</v>
      </c>
      <c r="B7" s="92">
        <f>IF(B5&gt;0,B5*(1-B6),B5)</f>
        <v>2104.5120000000002</v>
      </c>
      <c r="C7" s="93">
        <f>IF(C5&gt;0,IF(C5&lt;B10,C5,C5-(C5-B10)*C6),C5)</f>
        <v>2320.1052864000003</v>
      </c>
      <c r="D7" s="93">
        <f t="shared" ref="D7:L7" si="2">IF(D5&gt;0,IF(D5&lt;C10,D5,D5-(D5-C10)*D6),D5)</f>
        <v>2557.7721100799999</v>
      </c>
      <c r="E7" s="93">
        <f t="shared" si="2"/>
        <v>2819.7712456320005</v>
      </c>
      <c r="F7" s="93">
        <f t="shared" si="2"/>
        <v>3108.5924871936008</v>
      </c>
      <c r="G7" s="93">
        <f t="shared" si="2"/>
        <v>3426.9802646112012</v>
      </c>
      <c r="H7" s="93">
        <f t="shared" si="2"/>
        <v>3688.5916984484065</v>
      </c>
      <c r="I7" s="93">
        <f t="shared" si="2"/>
        <v>3909.908731685543</v>
      </c>
      <c r="J7" s="93">
        <f t="shared" si="2"/>
        <v>4080.6267048485242</v>
      </c>
      <c r="K7" s="93">
        <f t="shared" si="2"/>
        <v>4192.1349276586807</v>
      </c>
      <c r="L7" s="93">
        <f t="shared" si="2"/>
        <v>4238.2084444748443</v>
      </c>
      <c r="M7" s="93">
        <f>M5*(1-M6)</f>
        <v>4314.496196475392</v>
      </c>
    </row>
    <row r="8" spans="1:14" ht="15" customHeight="1">
      <c r="A8" s="45" t="s">
        <v>15</v>
      </c>
      <c r="B8" s="92"/>
      <c r="C8" s="93">
        <f t="shared" ref="C8:L8" si="3">(C3-B3)/C38</f>
        <v>839.10000000000082</v>
      </c>
      <c r="D8" s="93">
        <f t="shared" si="3"/>
        <v>923.0100000000009</v>
      </c>
      <c r="E8" s="93">
        <f t="shared" si="3"/>
        <v>1015.3110000000012</v>
      </c>
      <c r="F8" s="93">
        <f t="shared" si="3"/>
        <v>1116.8421000000008</v>
      </c>
      <c r="G8" s="93">
        <f t="shared" si="3"/>
        <v>1228.5263100000009</v>
      </c>
      <c r="H8" s="93">
        <f t="shared" si="3"/>
        <v>1129.752794676001</v>
      </c>
      <c r="I8" s="93">
        <f t="shared" si="3"/>
        <v>984.04603615422627</v>
      </c>
      <c r="J8" s="93">
        <f t="shared" si="3"/>
        <v>793.88148263417565</v>
      </c>
      <c r="K8" s="93">
        <f t="shared" si="3"/>
        <v>564.89855848717616</v>
      </c>
      <c r="L8" s="93">
        <f t="shared" si="3"/>
        <v>305.75462907512826</v>
      </c>
      <c r="M8" s="97">
        <f>IF(M2&gt;0,(M2/M40)*M7,0)</f>
        <v>1232.7131989929694</v>
      </c>
      <c r="N8" s="111">
        <f>SUM(C8:M8)</f>
        <v>10133.836110019683</v>
      </c>
    </row>
    <row r="9" spans="1:14" ht="15" customHeight="1">
      <c r="A9" s="45" t="s">
        <v>16</v>
      </c>
      <c r="B9" s="92"/>
      <c r="C9" s="93">
        <f t="shared" ref="C9:L9" si="4">C7-C8</f>
        <v>1481.0052863999995</v>
      </c>
      <c r="D9" s="93">
        <f t="shared" si="4"/>
        <v>1634.762110079999</v>
      </c>
      <c r="E9" s="93">
        <f t="shared" si="4"/>
        <v>1804.4602456319994</v>
      </c>
      <c r="F9" s="93">
        <f t="shared" si="4"/>
        <v>1991.7503871936001</v>
      </c>
      <c r="G9" s="93">
        <f t="shared" si="4"/>
        <v>2198.4539546112001</v>
      </c>
      <c r="H9" s="93">
        <f t="shared" si="4"/>
        <v>2558.8389037724055</v>
      </c>
      <c r="I9" s="93">
        <f t="shared" si="4"/>
        <v>2925.8626955313166</v>
      </c>
      <c r="J9" s="93">
        <f t="shared" si="4"/>
        <v>3286.7452222143484</v>
      </c>
      <c r="K9" s="93">
        <f t="shared" si="4"/>
        <v>3627.2363691715045</v>
      </c>
      <c r="L9" s="93">
        <f t="shared" si="4"/>
        <v>3932.4538153997159</v>
      </c>
      <c r="M9" s="97">
        <f>M7-M8</f>
        <v>3081.7829974824226</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7.4411063158688603E-2</v>
      </c>
      <c r="D12" s="90">
        <f>C12</f>
        <v>7.4411063158688603E-2</v>
      </c>
      <c r="E12" s="90">
        <f>D12</f>
        <v>7.4411063158688603E-2</v>
      </c>
      <c r="F12" s="90">
        <f>E12</f>
        <v>7.4411063158688603E-2</v>
      </c>
      <c r="G12" s="90">
        <f>F12</f>
        <v>7.4411063158688603E-2</v>
      </c>
      <c r="H12" s="90">
        <f>G12-($G$12-$M$12)/5</f>
        <v>7.212885052695088E-2</v>
      </c>
      <c r="I12" s="90">
        <f>H12-($G$12-$M$12)/5</f>
        <v>6.9846637895213157E-2</v>
      </c>
      <c r="J12" s="90">
        <f>I12-($G$12-$M$12)/5</f>
        <v>6.7564425263475433E-2</v>
      </c>
      <c r="K12" s="90">
        <f>J12-($G$12-$M$12)/5</f>
        <v>6.528221263173771E-2</v>
      </c>
      <c r="L12" s="90">
        <f>K12-($G$12-$M$12)/5</f>
        <v>6.2999999999999987E-2</v>
      </c>
      <c r="M12" s="91">
        <f>IF('Input sheet'!B40="Yes",'Input sheet'!B41,'Input sheet'!B29+0.045)</f>
        <v>6.3E-2</v>
      </c>
    </row>
    <row r="13" spans="1:14" ht="15" customHeight="1">
      <c r="A13" s="46" t="s">
        <v>149</v>
      </c>
      <c r="B13" s="89"/>
      <c r="C13" s="153">
        <f>1/(1+C12)</f>
        <v>0.93074246374574221</v>
      </c>
      <c r="D13" s="153">
        <f>C13*(1/(1+D12))</f>
        <v>0.86628153381949424</v>
      </c>
      <c r="E13" s="153">
        <f t="shared" ref="E13:L13" si="6">D13*(1/(1+E12))</f>
        <v>0.80628500908459655</v>
      </c>
      <c r="F13" s="153">
        <f t="shared" si="6"/>
        <v>0.75044369583665549</v>
      </c>
      <c r="G13" s="153">
        <f t="shared" si="6"/>
        <v>0.69846981436546907</v>
      </c>
      <c r="H13" s="153">
        <f t="shared" si="6"/>
        <v>0.65147935718936345</v>
      </c>
      <c r="I13" s="153">
        <f t="shared" si="6"/>
        <v>0.60894649206083029</v>
      </c>
      <c r="J13" s="153">
        <f t="shared" si="6"/>
        <v>0.57040725379224022</v>
      </c>
      <c r="K13" s="153">
        <f t="shared" si="6"/>
        <v>0.53545177703011826</v>
      </c>
      <c r="L13" s="153">
        <f t="shared" si="6"/>
        <v>0.50371757011299934</v>
      </c>
      <c r="M13" s="98"/>
    </row>
    <row r="14" spans="1:14" ht="15" customHeight="1">
      <c r="A14" s="46" t="s">
        <v>21</v>
      </c>
      <c r="B14" s="89"/>
      <c r="C14" s="93">
        <f t="shared" ref="C14:L14" si="7">C9*C13</f>
        <v>1378.434509084404</v>
      </c>
      <c r="D14" s="93">
        <f t="shared" si="7"/>
        <v>1416.1642281500945</v>
      </c>
      <c r="E14" s="93">
        <f t="shared" si="7"/>
        <v>1454.9092455421901</v>
      </c>
      <c r="F14" s="93">
        <f t="shared" si="7"/>
        <v>1494.6965217496547</v>
      </c>
      <c r="G14" s="93">
        <f t="shared" si="7"/>
        <v>1535.5537255683162</v>
      </c>
      <c r="H14" s="93">
        <f t="shared" si="7"/>
        <v>1667.0307241807823</v>
      </c>
      <c r="I14" s="93">
        <f t="shared" si="7"/>
        <v>1781.6938246954403</v>
      </c>
      <c r="J14" s="93">
        <f t="shared" si="7"/>
        <v>1874.7833161180529</v>
      </c>
      <c r="K14" s="93">
        <f t="shared" si="7"/>
        <v>1942.2101595811562</v>
      </c>
      <c r="L14" s="93">
        <f t="shared" si="7"/>
        <v>1980.8460804747381</v>
      </c>
      <c r="M14" s="98"/>
    </row>
    <row r="15" spans="1:14" ht="15" customHeight="1">
      <c r="A15" s="46"/>
      <c r="B15" s="45"/>
      <c r="C15" s="51"/>
      <c r="D15" s="51"/>
      <c r="E15" s="51"/>
      <c r="F15" s="51"/>
      <c r="G15" s="51"/>
      <c r="H15" s="51"/>
      <c r="I15" s="51"/>
      <c r="J15" s="51"/>
      <c r="K15" s="51"/>
      <c r="L15" s="51"/>
    </row>
    <row r="16" spans="1:14" ht="15" customHeight="1">
      <c r="A16" s="48" t="s">
        <v>22</v>
      </c>
      <c r="B16" s="92">
        <f>M9</f>
        <v>3081.7829974824226</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68484.066610720503</v>
      </c>
      <c r="C18" s="51"/>
      <c r="D18" s="154"/>
      <c r="E18" s="51"/>
      <c r="F18" s="51"/>
      <c r="G18" s="51"/>
      <c r="H18" s="51"/>
      <c r="I18" s="51"/>
      <c r="J18" s="51"/>
      <c r="K18" s="51"/>
      <c r="L18" s="51"/>
    </row>
    <row r="19" spans="1:12">
      <c r="A19" s="48" t="s">
        <v>24</v>
      </c>
      <c r="B19" s="99">
        <f>B18*L13</f>
        <v>34496.627624608926</v>
      </c>
      <c r="C19" s="51"/>
      <c r="D19" s="51"/>
      <c r="E19" s="51"/>
      <c r="F19" s="51"/>
      <c r="G19" s="51"/>
      <c r="H19" s="51"/>
      <c r="I19" s="51"/>
      <c r="J19" s="51"/>
      <c r="K19" s="51"/>
      <c r="L19" s="51"/>
    </row>
    <row r="20" spans="1:12">
      <c r="A20" s="48" t="s">
        <v>46</v>
      </c>
      <c r="B20" s="99">
        <f>SUM(C14:L14)</f>
        <v>16526.322335144829</v>
      </c>
      <c r="C20" s="51"/>
      <c r="D20" s="51"/>
      <c r="E20" s="51"/>
      <c r="F20" s="51"/>
      <c r="G20" s="51"/>
      <c r="H20" s="51"/>
      <c r="I20" s="51"/>
      <c r="J20" s="51"/>
      <c r="K20" s="51"/>
      <c r="L20" s="51"/>
    </row>
    <row r="21" spans="1:12">
      <c r="A21" s="48" t="s">
        <v>47</v>
      </c>
      <c r="B21" s="99">
        <f>B19+B20</f>
        <v>51022.949959753751</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25511.474979876875</v>
      </c>
      <c r="C23" s="51"/>
      <c r="D23" s="51"/>
      <c r="E23" s="51"/>
      <c r="F23" s="51"/>
      <c r="G23" s="51"/>
      <c r="H23" s="51"/>
      <c r="I23" s="51"/>
      <c r="J23" s="51"/>
      <c r="K23" s="51"/>
      <c r="L23" s="51"/>
    </row>
    <row r="24" spans="1:12">
      <c r="A24" s="48" t="s">
        <v>44</v>
      </c>
      <c r="B24" s="92">
        <f>B21*(1-B22)+B23*B22</f>
        <v>51022.949959753751</v>
      </c>
      <c r="C24" s="51"/>
      <c r="D24" s="51"/>
      <c r="E24" s="51"/>
      <c r="F24" s="51"/>
      <c r="G24" s="51"/>
      <c r="H24" s="51"/>
      <c r="I24" s="51"/>
      <c r="J24" s="51"/>
      <c r="K24" s="51"/>
      <c r="L24" s="51"/>
    </row>
    <row r="25" spans="1:12">
      <c r="A25" s="48" t="s">
        <v>392</v>
      </c>
      <c r="B25" s="92">
        <f>IF('Input sheet'!B14="Yes",'Input sheet'!B12+'Operating lease converter'!C28,'Input sheet'!B12)+'Input sheet'!B18</f>
        <v>6518</v>
      </c>
      <c r="C25" s="51"/>
      <c r="D25" s="51"/>
      <c r="E25" s="51"/>
      <c r="F25" s="51"/>
      <c r="G25" s="51"/>
      <c r="H25" s="51"/>
      <c r="I25" s="51"/>
      <c r="J25" s="51"/>
      <c r="K25" s="51"/>
      <c r="L25" s="51"/>
    </row>
    <row r="26" spans="1:12">
      <c r="A26" s="48" t="s">
        <v>394</v>
      </c>
      <c r="B26" s="92">
        <f>'Input sheet'!B17</f>
        <v>28</v>
      </c>
      <c r="C26" s="51"/>
      <c r="D26" s="51"/>
      <c r="E26" s="51"/>
      <c r="F26" s="51"/>
      <c r="G26" s="51"/>
      <c r="H26" s="51"/>
      <c r="I26" s="51"/>
      <c r="J26" s="51"/>
      <c r="K26" s="51"/>
      <c r="L26" s="51"/>
    </row>
    <row r="27" spans="1:12">
      <c r="A27" s="48" t="s">
        <v>391</v>
      </c>
      <c r="B27" s="92">
        <f>IF('Input sheet'!B59="YES",'Input sheet'!B15-'Input sheet'!B60*('Input sheet'!B22-'Input sheet'!B61),'Input sheet'!B15)</f>
        <v>2263</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46739.949959753751</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46739.949959753751</v>
      </c>
      <c r="C31" s="51"/>
      <c r="D31" s="51"/>
      <c r="E31" s="51"/>
      <c r="F31" s="51"/>
      <c r="G31" s="51"/>
      <c r="H31" s="51"/>
      <c r="I31" s="51"/>
      <c r="J31" s="51"/>
      <c r="K31" s="51"/>
      <c r="L31" s="51"/>
    </row>
    <row r="32" spans="1:12">
      <c r="A32" s="48" t="s">
        <v>13</v>
      </c>
      <c r="B32" s="103">
        <f>'Input sheet'!B19</f>
        <v>359.81</v>
      </c>
      <c r="C32" s="51"/>
      <c r="D32" s="51"/>
      <c r="E32" s="51"/>
      <c r="F32" s="51"/>
      <c r="G32" s="51"/>
      <c r="H32" s="51"/>
      <c r="I32" s="51"/>
      <c r="J32" s="51"/>
      <c r="K32" s="51"/>
      <c r="L32" s="51"/>
    </row>
    <row r="33" spans="1:13">
      <c r="A33" s="48" t="s">
        <v>96</v>
      </c>
      <c r="B33" s="104">
        <f>B31/B32</f>
        <v>129.90175359148927</v>
      </c>
      <c r="C33" s="51"/>
      <c r="D33" s="51"/>
      <c r="E33" s="51"/>
      <c r="F33" s="51"/>
      <c r="G33" s="51"/>
      <c r="H33" s="51"/>
      <c r="I33" s="51"/>
      <c r="J33" s="51"/>
      <c r="K33" s="51"/>
      <c r="L33" s="51"/>
    </row>
    <row r="34" spans="1:13">
      <c r="A34" s="48" t="s">
        <v>103</v>
      </c>
      <c r="B34" s="105">
        <f>'Input sheet'!B20</f>
        <v>218.49</v>
      </c>
      <c r="C34" s="51"/>
      <c r="D34" s="51"/>
      <c r="E34" s="51"/>
      <c r="F34" s="51"/>
      <c r="G34" s="51"/>
      <c r="H34" s="51"/>
      <c r="I34" s="51"/>
      <c r="J34" s="51"/>
      <c r="K34" s="51"/>
      <c r="L34" s="51"/>
    </row>
    <row r="35" spans="1:13">
      <c r="A35" s="48" t="s">
        <v>52</v>
      </c>
      <c r="B35" s="95">
        <f>B34/B33</f>
        <v>1.6819634374382668</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1.8155166249553092</v>
      </c>
      <c r="D38" s="106">
        <f>C38</f>
        <v>1.8155166249553092</v>
      </c>
      <c r="E38" s="106">
        <f t="shared" ref="E38:L38" si="8">D38</f>
        <v>1.8155166249553092</v>
      </c>
      <c r="F38" s="106">
        <f t="shared" si="8"/>
        <v>1.8155166249553092</v>
      </c>
      <c r="G38" s="106">
        <f t="shared" si="8"/>
        <v>1.8155166249553092</v>
      </c>
      <c r="H38" s="106">
        <f t="shared" si="8"/>
        <v>1.8155166249553092</v>
      </c>
      <c r="I38" s="106">
        <f t="shared" si="8"/>
        <v>1.8155166249553092</v>
      </c>
      <c r="J38" s="106">
        <f t="shared" si="8"/>
        <v>1.8155166249553092</v>
      </c>
      <c r="K38" s="106">
        <f t="shared" si="8"/>
        <v>1.8155166249553092</v>
      </c>
      <c r="L38" s="106">
        <f t="shared" si="8"/>
        <v>1.8155166249553092</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8391</v>
      </c>
      <c r="C39" s="108">
        <f t="shared" ref="C39:L39" si="9">B39+C8</f>
        <v>9230.1</v>
      </c>
      <c r="D39" s="108">
        <f t="shared" si="9"/>
        <v>10153.11</v>
      </c>
      <c r="E39" s="108">
        <f t="shared" si="9"/>
        <v>11168.421000000002</v>
      </c>
      <c r="F39" s="108">
        <f t="shared" si="9"/>
        <v>12285.263100000004</v>
      </c>
      <c r="G39" s="108">
        <f t="shared" si="9"/>
        <v>13513.789410000005</v>
      </c>
      <c r="H39" s="108">
        <f t="shared" si="9"/>
        <v>14643.542204676007</v>
      </c>
      <c r="I39" s="108">
        <f t="shared" si="9"/>
        <v>15627.588240830233</v>
      </c>
      <c r="J39" s="108">
        <f t="shared" si="9"/>
        <v>16421.469723464408</v>
      </c>
      <c r="K39" s="108">
        <f t="shared" si="9"/>
        <v>16986.368281951585</v>
      </c>
      <c r="L39" s="108">
        <f t="shared" si="9"/>
        <v>17292.122911026712</v>
      </c>
      <c r="M39" s="98"/>
    </row>
    <row r="40" spans="1:13">
      <c r="A40" s="44" t="s">
        <v>19</v>
      </c>
      <c r="B40" s="94">
        <f t="shared" ref="B40:L40" si="10">B7/B39</f>
        <v>0.25080586342509836</v>
      </c>
      <c r="C40" s="90">
        <f t="shared" si="10"/>
        <v>0.2513629631748302</v>
      </c>
      <c r="D40" s="90">
        <f t="shared" si="10"/>
        <v>0.25192006292456204</v>
      </c>
      <c r="E40" s="90">
        <f t="shared" si="10"/>
        <v>0.25247716267429388</v>
      </c>
      <c r="F40" s="90">
        <f t="shared" si="10"/>
        <v>0.25303426242402571</v>
      </c>
      <c r="G40" s="90">
        <f t="shared" si="10"/>
        <v>0.25359136217375761</v>
      </c>
      <c r="H40" s="90">
        <f t="shared" si="10"/>
        <v>0.25189203861279941</v>
      </c>
      <c r="I40" s="90">
        <f t="shared" si="10"/>
        <v>0.25019271505184121</v>
      </c>
      <c r="J40" s="90">
        <f t="shared" si="10"/>
        <v>0.24849339149088306</v>
      </c>
      <c r="K40" s="90">
        <f t="shared" si="10"/>
        <v>0.24679406792992487</v>
      </c>
      <c r="L40" s="110">
        <f t="shared" si="10"/>
        <v>0.24509474436896669</v>
      </c>
      <c r="M40" s="90">
        <f>IF('Input sheet'!B43="Yes",'Input sheet'!B44,'Valuation output'!L12)</f>
        <v>6.2999999999999987E-2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Polaris</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15234</v>
      </c>
      <c r="C9" s="275">
        <f>'Input sheet'!B24</f>
        <v>0.1</v>
      </c>
      <c r="D9" s="275">
        <f>F9</f>
        <v>1.7999999999999999E-2</v>
      </c>
      <c r="E9" s="276"/>
      <c r="F9" s="275">
        <f>'Valuation output'!M2</f>
        <v>1.7999999999999999E-2</v>
      </c>
      <c r="G9" s="299" t="s">
        <v>757</v>
      </c>
      <c r="H9" s="391" t="s">
        <v>655</v>
      </c>
      <c r="I9" s="392"/>
      <c r="J9" s="392"/>
      <c r="K9" s="393"/>
    </row>
    <row r="10" spans="1:11">
      <c r="A10" s="273" t="s">
        <v>642</v>
      </c>
      <c r="B10" s="275">
        <f>'Valuation output'!B4</f>
        <v>0.17802284363922805</v>
      </c>
      <c r="C10" s="277">
        <f>B10</f>
        <v>0.17802284363922805</v>
      </c>
      <c r="D10" s="278">
        <f>F10</f>
        <v>0.18</v>
      </c>
      <c r="E10" s="278"/>
      <c r="F10" s="275">
        <f>'Valuation output'!M4</f>
        <v>0.18</v>
      </c>
      <c r="G10" s="304" t="s">
        <v>758</v>
      </c>
      <c r="H10" s="394"/>
      <c r="I10" s="395"/>
      <c r="J10" s="395"/>
      <c r="K10" s="396"/>
    </row>
    <row r="11" spans="1:11">
      <c r="A11" s="273" t="s">
        <v>142</v>
      </c>
      <c r="B11" s="275">
        <f>'Valuation output'!B6</f>
        <v>0.224</v>
      </c>
      <c r="C11" s="277">
        <f>B11</f>
        <v>0.224</v>
      </c>
      <c r="D11" s="278">
        <f>F11</f>
        <v>0.25</v>
      </c>
      <c r="E11" s="278"/>
      <c r="F11" s="275">
        <f>'Valuation output'!M6</f>
        <v>0.25</v>
      </c>
      <c r="G11" s="304" t="s">
        <v>759</v>
      </c>
      <c r="H11" s="394"/>
      <c r="I11" s="395"/>
      <c r="J11" s="395"/>
      <c r="K11" s="396"/>
    </row>
    <row r="12" spans="1:11">
      <c r="A12" s="273" t="s">
        <v>643</v>
      </c>
      <c r="B12" s="276"/>
      <c r="C12" s="279" t="s">
        <v>647</v>
      </c>
      <c r="D12" s="280">
        <f>'Input sheet'!B27</f>
        <v>1.8155166249553092</v>
      </c>
      <c r="E12" s="281" t="s">
        <v>659</v>
      </c>
      <c r="F12" s="282">
        <f>'Valuation output'!M2/'Valuation output'!M40</f>
        <v>0.28571428571428575</v>
      </c>
      <c r="G12" s="304" t="s">
        <v>760</v>
      </c>
      <c r="H12" s="394"/>
      <c r="I12" s="395"/>
      <c r="J12" s="395"/>
      <c r="K12" s="396"/>
    </row>
    <row r="13" spans="1:11">
      <c r="A13" s="306" t="s">
        <v>657</v>
      </c>
      <c r="B13" s="310">
        <f>'Valuation output'!B40</f>
        <v>0.25080586342509836</v>
      </c>
      <c r="C13" s="313" t="s">
        <v>658</v>
      </c>
      <c r="D13" s="314">
        <f>Diagnostics!B6</f>
        <v>0.33017683521619068</v>
      </c>
      <c r="E13" s="307"/>
      <c r="F13" s="308">
        <f>'Valuation output'!M40</f>
        <v>6.2999999999999987E-2</v>
      </c>
      <c r="G13" s="309" t="s">
        <v>761</v>
      </c>
      <c r="H13" s="394"/>
      <c r="I13" s="395"/>
      <c r="J13" s="395"/>
      <c r="K13" s="396"/>
    </row>
    <row r="14" spans="1:11" ht="17" thickBot="1">
      <c r="A14" s="283" t="s">
        <v>644</v>
      </c>
      <c r="B14" s="311"/>
      <c r="C14" s="277">
        <f>'Valuation output'!C12</f>
        <v>7.4411063158688603E-2</v>
      </c>
      <c r="D14" s="278">
        <f>F14</f>
        <v>6.3E-2</v>
      </c>
      <c r="E14" s="312"/>
      <c r="F14" s="284">
        <f>'Valuation output'!M12</f>
        <v>6.3E-2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16757.400000000001</v>
      </c>
      <c r="C17" s="287">
        <f>'Valuation output'!C4</f>
        <v>0.17841827491138243</v>
      </c>
      <c r="D17" s="274">
        <f>B17*C17</f>
        <v>2989.8264000000004</v>
      </c>
      <c r="E17" s="286">
        <f>'Valuation output'!C7</f>
        <v>2320.1052864000003</v>
      </c>
      <c r="F17" s="286">
        <f>'Valuation output'!C8</f>
        <v>839.10000000000082</v>
      </c>
      <c r="G17" s="317">
        <f>E17-F17</f>
        <v>1481.0052863999995</v>
      </c>
      <c r="H17" s="403"/>
      <c r="I17" s="404"/>
      <c r="J17" s="404"/>
      <c r="K17" s="405"/>
    </row>
    <row r="18" spans="1:11">
      <c r="A18" s="285">
        <v>2</v>
      </c>
      <c r="B18" s="286">
        <f>'Valuation output'!D3</f>
        <v>18433.140000000003</v>
      </c>
      <c r="C18" s="287">
        <f>'Valuation output'!D4</f>
        <v>0.17881370618353681</v>
      </c>
      <c r="D18" s="274">
        <f t="shared" ref="D18:D27" si="0">B18*C18</f>
        <v>3296.0980800000002</v>
      </c>
      <c r="E18" s="286">
        <f>'Valuation output'!D7</f>
        <v>2557.7721100799999</v>
      </c>
      <c r="F18" s="286">
        <f>'Valuation output'!D8</f>
        <v>923.0100000000009</v>
      </c>
      <c r="G18" s="317">
        <f t="shared" ref="G18:G27" si="1">E18-F18</f>
        <v>1634.762110079999</v>
      </c>
      <c r="H18" s="403"/>
      <c r="I18" s="404"/>
      <c r="J18" s="404"/>
      <c r="K18" s="405"/>
    </row>
    <row r="19" spans="1:11">
      <c r="A19" s="285">
        <v>3</v>
      </c>
      <c r="B19" s="286">
        <f>'Valuation output'!E3</f>
        <v>20276.454000000005</v>
      </c>
      <c r="C19" s="287">
        <f>'Valuation output'!E4</f>
        <v>0.17920913745569123</v>
      </c>
      <c r="D19" s="274">
        <f t="shared" si="0"/>
        <v>3633.725832000001</v>
      </c>
      <c r="E19" s="286">
        <f>'Valuation output'!E7</f>
        <v>2819.7712456320005</v>
      </c>
      <c r="F19" s="286">
        <f>'Valuation output'!E8</f>
        <v>1015.3110000000012</v>
      </c>
      <c r="G19" s="317">
        <f t="shared" si="1"/>
        <v>1804.4602456319994</v>
      </c>
      <c r="H19" s="403"/>
      <c r="I19" s="404"/>
      <c r="J19" s="404"/>
      <c r="K19" s="405"/>
    </row>
    <row r="20" spans="1:11">
      <c r="A20" s="285">
        <v>4</v>
      </c>
      <c r="B20" s="286">
        <f>'Valuation output'!F3</f>
        <v>22304.099400000006</v>
      </c>
      <c r="C20" s="287">
        <f>'Valuation output'!F4</f>
        <v>0.17960456872784561</v>
      </c>
      <c r="D20" s="274">
        <f t="shared" si="0"/>
        <v>4005.918153600001</v>
      </c>
      <c r="E20" s="286">
        <f>'Valuation output'!F7</f>
        <v>3108.5924871936008</v>
      </c>
      <c r="F20" s="286">
        <f>'Valuation output'!F8</f>
        <v>1116.8421000000008</v>
      </c>
      <c r="G20" s="317">
        <f t="shared" si="1"/>
        <v>1991.7503871936001</v>
      </c>
      <c r="H20" s="403"/>
      <c r="I20" s="404"/>
      <c r="J20" s="404"/>
      <c r="K20" s="405"/>
    </row>
    <row r="21" spans="1:11">
      <c r="A21" s="285">
        <v>5</v>
      </c>
      <c r="B21" s="286">
        <f>'Valuation output'!G3</f>
        <v>24534.509340000008</v>
      </c>
      <c r="C21" s="287">
        <f>'Valuation output'!G4</f>
        <v>0.18</v>
      </c>
      <c r="D21" s="274">
        <f t="shared" si="0"/>
        <v>4416.2116812000013</v>
      </c>
      <c r="E21" s="286">
        <f>'Valuation output'!G7</f>
        <v>3426.9802646112012</v>
      </c>
      <c r="F21" s="286">
        <f>'Valuation output'!G8</f>
        <v>1228.5263100000009</v>
      </c>
      <c r="G21" s="317">
        <f t="shared" si="1"/>
        <v>2198.4539546112001</v>
      </c>
      <c r="H21" s="403"/>
      <c r="I21" s="404"/>
      <c r="J21" s="404"/>
      <c r="K21" s="405"/>
    </row>
    <row r="22" spans="1:11">
      <c r="A22" s="285">
        <v>6</v>
      </c>
      <c r="B22" s="286">
        <f>'Valuation output'!H3</f>
        <v>26585.59432082401</v>
      </c>
      <c r="C22" s="287">
        <f>'Valuation output'!H4</f>
        <v>0.18</v>
      </c>
      <c r="D22" s="274">
        <f t="shared" si="0"/>
        <v>4785.4069777483219</v>
      </c>
      <c r="E22" s="286">
        <f>'Valuation output'!H7</f>
        <v>3688.5916984484065</v>
      </c>
      <c r="F22" s="286">
        <f>'Valuation output'!H8</f>
        <v>1129.752794676001</v>
      </c>
      <c r="G22" s="317">
        <f t="shared" si="1"/>
        <v>2558.8389037724055</v>
      </c>
      <c r="H22" s="403"/>
      <c r="I22" s="404"/>
      <c r="J22" s="404"/>
      <c r="K22" s="405"/>
    </row>
    <row r="23" spans="1:11">
      <c r="A23" s="285">
        <v>7</v>
      </c>
      <c r="B23" s="286">
        <f>'Valuation output'!I3</f>
        <v>28372.146259183381</v>
      </c>
      <c r="C23" s="287">
        <f>'Valuation output'!I4</f>
        <v>0.18</v>
      </c>
      <c r="D23" s="274">
        <f t="shared" si="0"/>
        <v>5106.9863266530083</v>
      </c>
      <c r="E23" s="286">
        <f>'Valuation output'!I7</f>
        <v>3909.908731685543</v>
      </c>
      <c r="F23" s="286">
        <f>'Valuation output'!I8</f>
        <v>984.04603615422627</v>
      </c>
      <c r="G23" s="317">
        <f t="shared" si="1"/>
        <v>2925.8626955313166</v>
      </c>
      <c r="H23" s="403"/>
      <c r="I23" s="404"/>
      <c r="J23" s="404"/>
      <c r="K23" s="405"/>
    </row>
    <row r="24" spans="1:11">
      <c r="A24" s="285">
        <v>8</v>
      </c>
      <c r="B24" s="286">
        <f>'Valuation output'!J3</f>
        <v>29813.451289149896</v>
      </c>
      <c r="C24" s="287">
        <f>'Valuation output'!J4</f>
        <v>0.18</v>
      </c>
      <c r="D24" s="274">
        <f t="shared" si="0"/>
        <v>5366.4212320469815</v>
      </c>
      <c r="E24" s="286">
        <f>'Valuation output'!J7</f>
        <v>4080.6267048485242</v>
      </c>
      <c r="F24" s="286">
        <f>'Valuation output'!J8</f>
        <v>793.88148263417565</v>
      </c>
      <c r="G24" s="317">
        <f t="shared" si="1"/>
        <v>3286.7452222143484</v>
      </c>
      <c r="H24" s="403"/>
      <c r="I24" s="404"/>
      <c r="J24" s="404"/>
      <c r="K24" s="405"/>
    </row>
    <row r="25" spans="1:11">
      <c r="A25" s="285">
        <v>9</v>
      </c>
      <c r="B25" s="286">
        <f>'Valuation output'!K3</f>
        <v>30839.034013496654</v>
      </c>
      <c r="C25" s="287">
        <f>'Valuation output'!K4</f>
        <v>0.18</v>
      </c>
      <c r="D25" s="274">
        <f t="shared" si="0"/>
        <v>5551.0261224293972</v>
      </c>
      <c r="E25" s="286">
        <f>'Valuation output'!K7</f>
        <v>4192.1349276586807</v>
      </c>
      <c r="F25" s="286">
        <f>'Valuation output'!K8</f>
        <v>564.89855848717616</v>
      </c>
      <c r="G25" s="317">
        <f t="shared" si="1"/>
        <v>3627.2363691715045</v>
      </c>
      <c r="H25" s="403"/>
      <c r="I25" s="404"/>
      <c r="J25" s="404"/>
      <c r="K25" s="405"/>
    </row>
    <row r="26" spans="1:11">
      <c r="A26" s="285">
        <v>10</v>
      </c>
      <c r="B26" s="286">
        <f>'Valuation output'!L3</f>
        <v>31394.136625739593</v>
      </c>
      <c r="C26" s="287">
        <f>'Valuation output'!L4</f>
        <v>0.18</v>
      </c>
      <c r="D26" s="274">
        <f t="shared" si="0"/>
        <v>5650.9445926331264</v>
      </c>
      <c r="E26" s="286">
        <f>'Valuation output'!L7</f>
        <v>4238.2084444748443</v>
      </c>
      <c r="F26" s="286">
        <f>'Valuation output'!L8</f>
        <v>305.75462907512826</v>
      </c>
      <c r="G26" s="317">
        <f t="shared" si="1"/>
        <v>3932.4538153997159</v>
      </c>
      <c r="H26" s="403"/>
      <c r="I26" s="404"/>
      <c r="J26" s="404"/>
      <c r="K26" s="405"/>
    </row>
    <row r="27" spans="1:11" ht="17" thickBot="1">
      <c r="A27" s="288" t="s">
        <v>45</v>
      </c>
      <c r="B27" s="289">
        <f>'Valuation output'!M3</f>
        <v>31959.231085002906</v>
      </c>
      <c r="C27" s="290">
        <f>'Valuation output'!M4</f>
        <v>0.18</v>
      </c>
      <c r="D27" s="274">
        <f t="shared" si="0"/>
        <v>5752.661595300523</v>
      </c>
      <c r="E27" s="289">
        <f>'Valuation output'!M7</f>
        <v>4314.496196475392</v>
      </c>
      <c r="F27" s="289">
        <f>'Valuation output'!M8</f>
        <v>1232.7131989929694</v>
      </c>
      <c r="G27" s="317">
        <f t="shared" si="1"/>
        <v>3081.7829974824226</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68484.066610720503</v>
      </c>
      <c r="E29" s="292"/>
      <c r="F29" s="293"/>
      <c r="G29" s="294"/>
      <c r="H29" s="409" t="s">
        <v>660</v>
      </c>
      <c r="I29" s="410"/>
      <c r="J29" s="410"/>
      <c r="K29" s="410"/>
    </row>
    <row r="30" spans="1:11">
      <c r="A30" s="367" t="s">
        <v>639</v>
      </c>
      <c r="B30" s="368"/>
      <c r="C30" s="369"/>
      <c r="D30" s="295">
        <f>'Valuation output'!B19</f>
        <v>34496.627624608926</v>
      </c>
      <c r="E30" s="296"/>
      <c r="F30" s="297"/>
      <c r="G30" s="298"/>
      <c r="H30" s="409"/>
      <c r="I30" s="410"/>
      <c r="J30" s="410"/>
      <c r="K30" s="410"/>
    </row>
    <row r="31" spans="1:11">
      <c r="A31" s="367" t="s">
        <v>46</v>
      </c>
      <c r="B31" s="368"/>
      <c r="C31" s="369"/>
      <c r="D31" s="295">
        <f>'Valuation output'!B20</f>
        <v>16526.322335144829</v>
      </c>
      <c r="E31" s="296"/>
      <c r="F31" s="297"/>
      <c r="G31" s="298"/>
      <c r="H31" s="409"/>
      <c r="I31" s="410"/>
      <c r="J31" s="410"/>
      <c r="K31" s="410"/>
    </row>
    <row r="32" spans="1:11">
      <c r="A32" s="367" t="s">
        <v>44</v>
      </c>
      <c r="B32" s="368"/>
      <c r="C32" s="369"/>
      <c r="D32" s="295">
        <f>'Valuation output'!B21</f>
        <v>51022.949959753751</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6546</v>
      </c>
      <c r="E34" s="296"/>
      <c r="F34" s="297"/>
      <c r="G34" s="298"/>
      <c r="H34" s="409"/>
      <c r="I34" s="410"/>
      <c r="J34" s="410"/>
      <c r="K34" s="410"/>
    </row>
    <row r="35" spans="1:11">
      <c r="A35" s="367" t="s">
        <v>651</v>
      </c>
      <c r="B35" s="368"/>
      <c r="C35" s="369"/>
      <c r="D35" s="295">
        <f>'Valuation output'!B27+'Valuation output'!B28</f>
        <v>2263</v>
      </c>
      <c r="E35" s="296"/>
      <c r="F35" s="297"/>
      <c r="G35" s="298"/>
      <c r="H35" s="409"/>
      <c r="I35" s="410"/>
      <c r="J35" s="410"/>
      <c r="K35" s="410"/>
    </row>
    <row r="36" spans="1:11">
      <c r="A36" s="367" t="s">
        <v>54</v>
      </c>
      <c r="B36" s="368"/>
      <c r="C36" s="369"/>
      <c r="D36" s="295">
        <f>D32-D33-D34+D35</f>
        <v>46739.949959753751</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359.81</v>
      </c>
      <c r="E38" s="297"/>
      <c r="F38" s="300"/>
      <c r="G38" s="298"/>
      <c r="H38" s="409"/>
      <c r="I38" s="410"/>
      <c r="J38" s="410"/>
      <c r="K38" s="410"/>
    </row>
    <row r="39" spans="1:11" ht="17" thickBot="1">
      <c r="A39" s="415" t="s">
        <v>623</v>
      </c>
      <c r="B39" s="416"/>
      <c r="C39" s="416"/>
      <c r="D39" s="271">
        <f>(D36-D37)/D38</f>
        <v>129.90175359148927</v>
      </c>
      <c r="E39" s="417" t="s">
        <v>653</v>
      </c>
      <c r="F39" s="418"/>
      <c r="G39" s="315">
        <f>'Input sheet'!B20</f>
        <v>218.49</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8391</v>
      </c>
    </row>
    <row r="3" spans="1:4" s="144" customFormat="1" ht="13">
      <c r="A3" s="147" t="s">
        <v>8</v>
      </c>
      <c r="B3" s="148">
        <f>'Valuation output'!L39</f>
        <v>17292.122911026712</v>
      </c>
    </row>
    <row r="4" spans="1:4" s="144" customFormat="1" ht="13">
      <c r="A4" s="147" t="s">
        <v>9</v>
      </c>
      <c r="B4" s="148">
        <f>B3-B2</f>
        <v>8901.1229110267122</v>
      </c>
    </row>
    <row r="5" spans="1:4" s="144" customFormat="1" ht="13">
      <c r="A5" s="147" t="s">
        <v>10</v>
      </c>
      <c r="B5" s="148">
        <f>'Valuation output'!L5-'Valuation output'!B5</f>
        <v>2938.9445926331264</v>
      </c>
    </row>
    <row r="6" spans="1:4" s="144" customFormat="1" ht="13">
      <c r="A6" s="147" t="s">
        <v>4</v>
      </c>
      <c r="B6" s="149">
        <f>B5/B4</f>
        <v>0.33017683521619068</v>
      </c>
    </row>
    <row r="7" spans="1:4" s="144" customFormat="1" ht="13">
      <c r="A7" s="147" t="s">
        <v>5</v>
      </c>
      <c r="B7" s="149">
        <f>'Valuation output'!L40</f>
        <v>0.24509474436896669</v>
      </c>
    </row>
    <row r="8" spans="1:4" s="144" customFormat="1" ht="13">
      <c r="A8" s="147" t="s">
        <v>240</v>
      </c>
      <c r="B8" s="149">
        <f>(1/'Valuation output'!L13)^(1/10)-1</f>
        <v>7.0979825772041316E-2</v>
      </c>
    </row>
    <row r="9" spans="1:4" s="144" customFormat="1" ht="14" thickBot="1">
      <c r="A9" s="150" t="s">
        <v>28</v>
      </c>
      <c r="B9" s="151">
        <f>'Valuation output'!B33/'Valuation output'!B34</f>
        <v>0.59454324496081867</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15234</v>
      </c>
      <c r="D2" s="331">
        <f>'Valuation output'!B4</f>
        <v>0.17802284363922805</v>
      </c>
      <c r="E2" s="330">
        <f>B2*D2</f>
        <v>2712</v>
      </c>
      <c r="F2" s="330">
        <f>'Valuation output'!B10</f>
        <v>0</v>
      </c>
      <c r="G2" s="330">
        <f>E2-H2</f>
        <v>607.48799999999983</v>
      </c>
      <c r="H2" s="330">
        <f>'Valuation output'!B7</f>
        <v>2104.5120000000002</v>
      </c>
    </row>
    <row r="3" spans="1:8" s="329" customFormat="1">
      <c r="A3" s="329">
        <v>1</v>
      </c>
      <c r="B3" s="330">
        <f>'Valuation output'!C3</f>
        <v>16757.400000000001</v>
      </c>
      <c r="C3" s="331">
        <f>'Valuation output'!C2</f>
        <v>0.1</v>
      </c>
      <c r="D3" s="331">
        <f>'Valuation output'!C4</f>
        <v>0.17841827491138243</v>
      </c>
      <c r="E3" s="330">
        <f>B3*D3</f>
        <v>2989.8264000000004</v>
      </c>
      <c r="F3" s="330">
        <f>'Valuation output'!C10</f>
        <v>0</v>
      </c>
      <c r="G3" s="330">
        <f t="shared" ref="G3:G12" si="0">E3-H3</f>
        <v>669.72111360000008</v>
      </c>
      <c r="H3" s="330">
        <f>'Valuation output'!C7</f>
        <v>2320.1052864000003</v>
      </c>
    </row>
    <row r="4" spans="1:8" s="329" customFormat="1">
      <c r="A4" s="329">
        <v>2</v>
      </c>
      <c r="B4" s="333">
        <f>'Valuation output'!D3</f>
        <v>18433.140000000003</v>
      </c>
      <c r="C4" s="331">
        <f>B4/B3-1</f>
        <v>0.10000000000000009</v>
      </c>
      <c r="D4" s="331">
        <f>'Valuation output'!D4</f>
        <v>0.17881370618353681</v>
      </c>
      <c r="E4" s="330">
        <f t="shared" ref="E4:E12" si="1">B4*D4</f>
        <v>3296.0980800000002</v>
      </c>
      <c r="F4" s="330">
        <f>'Valuation output'!D10</f>
        <v>0</v>
      </c>
      <c r="G4" s="330">
        <f t="shared" si="0"/>
        <v>738.32596992000026</v>
      </c>
      <c r="H4" s="330">
        <f>'Valuation output'!D7</f>
        <v>2557.7721100799999</v>
      </c>
    </row>
    <row r="5" spans="1:8" s="329" customFormat="1">
      <c r="A5" s="329">
        <v>3</v>
      </c>
      <c r="B5" s="330">
        <f>'Valuation output'!E3</f>
        <v>20276.454000000005</v>
      </c>
      <c r="C5" s="331">
        <f t="shared" ref="C5:C12" si="2">B5/B4-1</f>
        <v>0.10000000000000009</v>
      </c>
      <c r="D5" s="331">
        <f>'Valuation output'!E4</f>
        <v>0.17920913745569123</v>
      </c>
      <c r="E5" s="330">
        <f t="shared" si="1"/>
        <v>3633.725832000001</v>
      </c>
      <c r="F5" s="330">
        <f>'Valuation output'!E10</f>
        <v>0</v>
      </c>
      <c r="G5" s="330">
        <f t="shared" si="0"/>
        <v>813.95458636800049</v>
      </c>
      <c r="H5" s="330">
        <f>'Valuation output'!E7</f>
        <v>2819.7712456320005</v>
      </c>
    </row>
    <row r="6" spans="1:8" s="329" customFormat="1">
      <c r="A6" s="329">
        <v>4</v>
      </c>
      <c r="B6" s="330">
        <f>'Valuation output'!F3</f>
        <v>22304.099400000006</v>
      </c>
      <c r="C6" s="331">
        <f t="shared" si="2"/>
        <v>0.10000000000000009</v>
      </c>
      <c r="D6" s="331">
        <f>'Valuation output'!F4</f>
        <v>0.17960456872784561</v>
      </c>
      <c r="E6" s="330">
        <f t="shared" si="1"/>
        <v>4005.918153600001</v>
      </c>
      <c r="F6" s="330">
        <f>'Valuation output'!F10</f>
        <v>0</v>
      </c>
      <c r="G6" s="330">
        <f t="shared" si="0"/>
        <v>897.32566640640016</v>
      </c>
      <c r="H6" s="330">
        <f>'Valuation output'!F7</f>
        <v>3108.5924871936008</v>
      </c>
    </row>
    <row r="7" spans="1:8" s="329" customFormat="1">
      <c r="A7" s="329">
        <v>5</v>
      </c>
      <c r="B7" s="330">
        <f>'Valuation output'!G3</f>
        <v>24534.509340000008</v>
      </c>
      <c r="C7" s="331">
        <f t="shared" si="2"/>
        <v>0.10000000000000009</v>
      </c>
      <c r="D7" s="331">
        <f>'Valuation output'!G4</f>
        <v>0.18</v>
      </c>
      <c r="E7" s="330">
        <f t="shared" si="1"/>
        <v>4416.2116812000013</v>
      </c>
      <c r="F7" s="330">
        <f>'Valuation output'!G10</f>
        <v>0</v>
      </c>
      <c r="G7" s="330">
        <f t="shared" si="0"/>
        <v>989.23141658880013</v>
      </c>
      <c r="H7" s="330">
        <f>'Valuation output'!G7</f>
        <v>3426.9802646112012</v>
      </c>
    </row>
    <row r="8" spans="1:8" s="329" customFormat="1">
      <c r="A8" s="329">
        <v>6</v>
      </c>
      <c r="B8" s="330">
        <f>'Valuation output'!H3</f>
        <v>26585.59432082401</v>
      </c>
      <c r="C8" s="331">
        <f t="shared" si="2"/>
        <v>8.3600000000000119E-2</v>
      </c>
      <c r="D8" s="331">
        <f>'Valuation output'!H4</f>
        <v>0.18</v>
      </c>
      <c r="E8" s="330">
        <f t="shared" si="1"/>
        <v>4785.4069777483219</v>
      </c>
      <c r="F8" s="330">
        <f>'Valuation output'!H10</f>
        <v>0</v>
      </c>
      <c r="G8" s="330">
        <f t="shared" si="0"/>
        <v>1096.8152792999153</v>
      </c>
      <c r="H8" s="330">
        <f>'Valuation output'!H7</f>
        <v>3688.5916984484065</v>
      </c>
    </row>
    <row r="9" spans="1:8" s="329" customFormat="1">
      <c r="A9" s="329">
        <v>7</v>
      </c>
      <c r="B9" s="330">
        <f>'Valuation output'!I3</f>
        <v>28372.146259183381</v>
      </c>
      <c r="C9" s="331">
        <f t="shared" si="2"/>
        <v>6.7199999999999926E-2</v>
      </c>
      <c r="D9" s="331">
        <f>'Valuation output'!I4</f>
        <v>0.18</v>
      </c>
      <c r="E9" s="330">
        <f t="shared" si="1"/>
        <v>5106.9863266530083</v>
      </c>
      <c r="F9" s="330">
        <f>'Valuation output'!I10</f>
        <v>0</v>
      </c>
      <c r="G9" s="330">
        <f t="shared" si="0"/>
        <v>1197.0775949674653</v>
      </c>
      <c r="H9" s="330">
        <f>'Valuation output'!I7</f>
        <v>3909.908731685543</v>
      </c>
    </row>
    <row r="10" spans="1:8" s="329" customFormat="1">
      <c r="A10" s="329">
        <v>8</v>
      </c>
      <c r="B10" s="330">
        <f>'Valuation output'!J3</f>
        <v>29813.451289149896</v>
      </c>
      <c r="C10" s="331">
        <f t="shared" si="2"/>
        <v>5.0799999999999956E-2</v>
      </c>
      <c r="D10" s="331">
        <f>'Valuation output'!J4</f>
        <v>0.18</v>
      </c>
      <c r="E10" s="330">
        <f t="shared" si="1"/>
        <v>5366.4212320469815</v>
      </c>
      <c r="F10" s="330">
        <f>'Valuation output'!J10</f>
        <v>0</v>
      </c>
      <c r="G10" s="330">
        <f t="shared" si="0"/>
        <v>1285.7945271984572</v>
      </c>
      <c r="H10" s="330">
        <f>'Valuation output'!J7</f>
        <v>4080.6267048485242</v>
      </c>
    </row>
    <row r="11" spans="1:8" s="329" customFormat="1">
      <c r="A11" s="329">
        <v>9</v>
      </c>
      <c r="B11" s="330">
        <f>'Valuation output'!K3</f>
        <v>30839.034013496654</v>
      </c>
      <c r="C11" s="331">
        <f t="shared" si="2"/>
        <v>3.4399999999999986E-2</v>
      </c>
      <c r="D11" s="331">
        <f>'Valuation output'!K4</f>
        <v>0.18</v>
      </c>
      <c r="E11" s="330">
        <f t="shared" si="1"/>
        <v>5551.0261224293972</v>
      </c>
      <c r="F11" s="330">
        <f>'Valuation output'!K10</f>
        <v>0</v>
      </c>
      <c r="G11" s="330">
        <f t="shared" si="0"/>
        <v>1358.8911947707165</v>
      </c>
      <c r="H11" s="330">
        <f>'Valuation output'!K7</f>
        <v>4192.1349276586807</v>
      </c>
    </row>
    <row r="12" spans="1:8" s="329" customFormat="1">
      <c r="A12" s="329">
        <v>10</v>
      </c>
      <c r="B12" s="330">
        <f>'Valuation output'!L3</f>
        <v>31394.136625739593</v>
      </c>
      <c r="C12" s="331">
        <f t="shared" si="2"/>
        <v>1.8000000000000016E-2</v>
      </c>
      <c r="D12" s="331">
        <f>'Valuation output'!L4</f>
        <v>0.18</v>
      </c>
      <c r="E12" s="330">
        <f t="shared" si="1"/>
        <v>5650.9445926331264</v>
      </c>
      <c r="F12" s="330">
        <f>'Valuation output'!L10</f>
        <v>0</v>
      </c>
      <c r="G12" s="330">
        <f t="shared" si="0"/>
        <v>1412.736148158282</v>
      </c>
      <c r="H12" s="330">
        <f>'Valuation output'!L7</f>
        <v>4238.2084444748443</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2104.5120000000002</v>
      </c>
      <c r="G15" s="335">
        <f>'Valuation output'!B39</f>
        <v>8391</v>
      </c>
      <c r="H15" s="336">
        <f>B15/G15</f>
        <v>0.25080586342509836</v>
      </c>
    </row>
    <row r="16" spans="1:8" s="329" customFormat="1">
      <c r="A16" s="329">
        <f t="shared" ref="A16:A24" si="3">A3</f>
        <v>1</v>
      </c>
      <c r="B16" s="330">
        <f t="shared" ref="B16:B25" si="4">H3</f>
        <v>2320.1052864000003</v>
      </c>
      <c r="C16" s="330">
        <f>B3-B2</f>
        <v>1523.4000000000015</v>
      </c>
      <c r="D16" s="334">
        <f>'Valuation output'!C38</f>
        <v>1.8155166249553092</v>
      </c>
      <c r="E16" s="330">
        <f>C16/D16</f>
        <v>839.10000000000082</v>
      </c>
      <c r="F16" s="330">
        <f>B16-E16</f>
        <v>1481.0052863999995</v>
      </c>
      <c r="G16" s="330">
        <f>G15+E16</f>
        <v>9230.1</v>
      </c>
      <c r="H16" s="336">
        <f t="shared" ref="H16:H25" si="5">B16/G16</f>
        <v>0.2513629631748302</v>
      </c>
    </row>
    <row r="17" spans="1:8" s="329" customFormat="1">
      <c r="A17" s="329">
        <f t="shared" si="3"/>
        <v>2</v>
      </c>
      <c r="B17" s="330">
        <f t="shared" si="4"/>
        <v>2557.7721100799999</v>
      </c>
      <c r="C17" s="330">
        <f t="shared" ref="C17:C25" si="6">B4-B3</f>
        <v>1675.7400000000016</v>
      </c>
      <c r="D17" s="334">
        <f>'Valuation output'!D38</f>
        <v>1.8155166249553092</v>
      </c>
      <c r="E17" s="330">
        <f t="shared" ref="E17:E25" si="7">C17/D17</f>
        <v>923.0100000000009</v>
      </c>
      <c r="F17" s="330">
        <f t="shared" ref="F17:F25" si="8">B17-E17</f>
        <v>1634.762110079999</v>
      </c>
      <c r="G17" s="330">
        <f t="shared" ref="G17:G25" si="9">G16+E17</f>
        <v>10153.11</v>
      </c>
      <c r="H17" s="336">
        <f t="shared" si="5"/>
        <v>0.25192006292456204</v>
      </c>
    </row>
    <row r="18" spans="1:8" s="329" customFormat="1">
      <c r="A18" s="329">
        <f t="shared" si="3"/>
        <v>3</v>
      </c>
      <c r="B18" s="330">
        <f t="shared" si="4"/>
        <v>2819.7712456320005</v>
      </c>
      <c r="C18" s="330">
        <f t="shared" si="6"/>
        <v>1843.3140000000021</v>
      </c>
      <c r="D18" s="334">
        <f>'Valuation output'!E38</f>
        <v>1.8155166249553092</v>
      </c>
      <c r="E18" s="330">
        <f t="shared" si="7"/>
        <v>1015.3110000000012</v>
      </c>
      <c r="F18" s="330">
        <f t="shared" si="8"/>
        <v>1804.4602456319994</v>
      </c>
      <c r="G18" s="330">
        <f t="shared" si="9"/>
        <v>11168.421000000002</v>
      </c>
      <c r="H18" s="336">
        <f t="shared" si="5"/>
        <v>0.25247716267429388</v>
      </c>
    </row>
    <row r="19" spans="1:8" s="329" customFormat="1">
      <c r="A19" s="329">
        <f t="shared" si="3"/>
        <v>4</v>
      </c>
      <c r="B19" s="330">
        <f t="shared" si="4"/>
        <v>3108.5924871936008</v>
      </c>
      <c r="C19" s="330">
        <f t="shared" si="6"/>
        <v>2027.6454000000012</v>
      </c>
      <c r="D19" s="334">
        <f>'Valuation output'!F38</f>
        <v>1.8155166249553092</v>
      </c>
      <c r="E19" s="330">
        <f t="shared" si="7"/>
        <v>1116.8421000000008</v>
      </c>
      <c r="F19" s="330">
        <f t="shared" si="8"/>
        <v>1991.7503871936001</v>
      </c>
      <c r="G19" s="330">
        <f t="shared" si="9"/>
        <v>12285.263100000004</v>
      </c>
      <c r="H19" s="336">
        <f t="shared" si="5"/>
        <v>0.25303426242402571</v>
      </c>
    </row>
    <row r="20" spans="1:8" s="329" customFormat="1">
      <c r="A20" s="329">
        <f t="shared" si="3"/>
        <v>5</v>
      </c>
      <c r="B20" s="330">
        <f t="shared" si="4"/>
        <v>3426.9802646112012</v>
      </c>
      <c r="C20" s="330">
        <f t="shared" si="6"/>
        <v>2230.4099400000014</v>
      </c>
      <c r="D20" s="334">
        <f>'Valuation output'!G38</f>
        <v>1.8155166249553092</v>
      </c>
      <c r="E20" s="330">
        <f t="shared" si="7"/>
        <v>1228.5263100000009</v>
      </c>
      <c r="F20" s="330">
        <f t="shared" si="8"/>
        <v>2198.4539546112001</v>
      </c>
      <c r="G20" s="330">
        <f t="shared" si="9"/>
        <v>13513.789410000005</v>
      </c>
      <c r="H20" s="336">
        <f t="shared" si="5"/>
        <v>0.25359136217375761</v>
      </c>
    </row>
    <row r="21" spans="1:8" s="329" customFormat="1">
      <c r="A21" s="329">
        <f t="shared" si="3"/>
        <v>6</v>
      </c>
      <c r="B21" s="330">
        <f t="shared" si="4"/>
        <v>3688.5916984484065</v>
      </c>
      <c r="C21" s="330">
        <f t="shared" si="6"/>
        <v>2051.0849808240018</v>
      </c>
      <c r="D21" s="334">
        <f>'Valuation output'!H38</f>
        <v>1.8155166249553092</v>
      </c>
      <c r="E21" s="330">
        <f t="shared" si="7"/>
        <v>1129.752794676001</v>
      </c>
      <c r="F21" s="330">
        <f t="shared" si="8"/>
        <v>2558.8389037724055</v>
      </c>
      <c r="G21" s="330">
        <f t="shared" si="9"/>
        <v>14643.542204676007</v>
      </c>
      <c r="H21" s="336">
        <f t="shared" si="5"/>
        <v>0.25189203861279941</v>
      </c>
    </row>
    <row r="22" spans="1:8" s="329" customFormat="1">
      <c r="A22" s="329">
        <f t="shared" si="3"/>
        <v>7</v>
      </c>
      <c r="B22" s="330">
        <f t="shared" si="4"/>
        <v>3909.908731685543</v>
      </c>
      <c r="C22" s="330">
        <f t="shared" si="6"/>
        <v>1786.551938359371</v>
      </c>
      <c r="D22" s="334">
        <f>'Valuation output'!I38</f>
        <v>1.8155166249553092</v>
      </c>
      <c r="E22" s="330">
        <f t="shared" si="7"/>
        <v>984.04603615422627</v>
      </c>
      <c r="F22" s="330">
        <f t="shared" si="8"/>
        <v>2925.8626955313166</v>
      </c>
      <c r="G22" s="330">
        <f t="shared" si="9"/>
        <v>15627.588240830233</v>
      </c>
      <c r="H22" s="336">
        <f t="shared" si="5"/>
        <v>0.25019271505184121</v>
      </c>
    </row>
    <row r="23" spans="1:8" s="329" customFormat="1">
      <c r="A23" s="329">
        <f t="shared" si="3"/>
        <v>8</v>
      </c>
      <c r="B23" s="330">
        <f t="shared" si="4"/>
        <v>4080.6267048485242</v>
      </c>
      <c r="C23" s="330">
        <f t="shared" si="6"/>
        <v>1441.3050299665156</v>
      </c>
      <c r="D23" s="334">
        <f>'Valuation output'!J38</f>
        <v>1.8155166249553092</v>
      </c>
      <c r="E23" s="330">
        <f t="shared" si="7"/>
        <v>793.88148263417565</v>
      </c>
      <c r="F23" s="330">
        <f t="shared" si="8"/>
        <v>3286.7452222143484</v>
      </c>
      <c r="G23" s="330">
        <f t="shared" si="9"/>
        <v>16421.469723464408</v>
      </c>
      <c r="H23" s="336">
        <f t="shared" si="5"/>
        <v>0.24849339149088306</v>
      </c>
    </row>
    <row r="24" spans="1:8" s="329" customFormat="1">
      <c r="A24" s="329">
        <f t="shared" si="3"/>
        <v>9</v>
      </c>
      <c r="B24" s="330">
        <f t="shared" si="4"/>
        <v>4192.1349276586807</v>
      </c>
      <c r="C24" s="330">
        <f t="shared" si="6"/>
        <v>1025.5827243467575</v>
      </c>
      <c r="D24" s="334">
        <f>'Valuation output'!K38</f>
        <v>1.8155166249553092</v>
      </c>
      <c r="E24" s="330">
        <f t="shared" si="7"/>
        <v>564.89855848717616</v>
      </c>
      <c r="F24" s="330">
        <f t="shared" si="8"/>
        <v>3627.2363691715045</v>
      </c>
      <c r="G24" s="330">
        <f t="shared" si="9"/>
        <v>16986.368281951585</v>
      </c>
      <c r="H24" s="336">
        <f t="shared" si="5"/>
        <v>0.24679406792992487</v>
      </c>
    </row>
    <row r="25" spans="1:8" s="329" customFormat="1">
      <c r="A25" s="329">
        <f>A12</f>
        <v>10</v>
      </c>
      <c r="B25" s="330">
        <f t="shared" si="4"/>
        <v>4238.2084444748443</v>
      </c>
      <c r="C25" s="330">
        <f t="shared" si="6"/>
        <v>555.10261224293936</v>
      </c>
      <c r="D25" s="334">
        <f>'Valuation output'!L38</f>
        <v>1.8155166249553092</v>
      </c>
      <c r="E25" s="330">
        <f t="shared" si="7"/>
        <v>305.75462907512826</v>
      </c>
      <c r="F25" s="330">
        <f t="shared" si="8"/>
        <v>3932.4538153997159</v>
      </c>
      <c r="G25" s="330">
        <f t="shared" si="9"/>
        <v>17292.122911026712</v>
      </c>
      <c r="H25" s="336">
        <f t="shared" si="5"/>
        <v>0.24509474436896669</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7.4411063158688603E-2</v>
      </c>
    </row>
    <row r="29" spans="1:8">
      <c r="A29">
        <f t="shared" ref="A29:A37" si="10">A17</f>
        <v>2</v>
      </c>
      <c r="H29" s="324">
        <f>'Valuation output'!D12</f>
        <v>7.4411063158688603E-2</v>
      </c>
    </row>
    <row r="30" spans="1:8">
      <c r="A30">
        <f t="shared" si="10"/>
        <v>3</v>
      </c>
      <c r="H30" s="324">
        <f>'Valuation output'!E12</f>
        <v>7.4411063158688603E-2</v>
      </c>
    </row>
    <row r="31" spans="1:8">
      <c r="A31">
        <f t="shared" si="10"/>
        <v>4</v>
      </c>
      <c r="H31" s="324">
        <f>'Valuation output'!F12</f>
        <v>7.4411063158688603E-2</v>
      </c>
    </row>
    <row r="32" spans="1:8">
      <c r="A32">
        <f t="shared" si="10"/>
        <v>5</v>
      </c>
      <c r="H32" s="324">
        <f>'Valuation output'!G12</f>
        <v>7.4411063158688603E-2</v>
      </c>
    </row>
    <row r="33" spans="1:8">
      <c r="A33">
        <f t="shared" si="10"/>
        <v>6</v>
      </c>
      <c r="H33" s="324">
        <f>'Valuation output'!H12</f>
        <v>7.212885052695088E-2</v>
      </c>
    </row>
    <row r="34" spans="1:8">
      <c r="A34">
        <f t="shared" si="10"/>
        <v>7</v>
      </c>
      <c r="H34" s="324">
        <f>'Valuation output'!I12</f>
        <v>6.9846637895213157E-2</v>
      </c>
    </row>
    <row r="35" spans="1:8">
      <c r="A35">
        <f t="shared" si="10"/>
        <v>8</v>
      </c>
      <c r="H35" s="324">
        <f>'Valuation output'!J12</f>
        <v>6.7564425263475433E-2</v>
      </c>
    </row>
    <row r="36" spans="1:8">
      <c r="A36">
        <f t="shared" si="10"/>
        <v>9</v>
      </c>
      <c r="H36" s="324">
        <f>'Valuation output'!K12</f>
        <v>6.528221263173771E-2</v>
      </c>
    </row>
    <row r="37" spans="1:8">
      <c r="A37">
        <f t="shared" si="10"/>
        <v>10</v>
      </c>
      <c r="H37" s="324">
        <f>'Valuation output'!L12</f>
        <v>6.2999999999999987E-2</v>
      </c>
    </row>
    <row r="38" spans="1:8" ht="13" thickBot="1"/>
    <row r="39" spans="1:8" ht="31" thickBot="1">
      <c r="A39" s="328" t="s">
        <v>120</v>
      </c>
      <c r="B39" s="328" t="s">
        <v>680</v>
      </c>
      <c r="C39" s="328" t="s">
        <v>683</v>
      </c>
      <c r="D39" s="328" t="s">
        <v>16</v>
      </c>
      <c r="E39" s="328" t="s">
        <v>684</v>
      </c>
      <c r="F39" s="328" t="s">
        <v>130</v>
      </c>
    </row>
    <row r="40" spans="1:8">
      <c r="A40">
        <f>A28</f>
        <v>1</v>
      </c>
      <c r="B40" s="337">
        <f>H28</f>
        <v>7.4411063158688603E-2</v>
      </c>
      <c r="C40" s="338">
        <f>(1+'Summary Sheet'!B40)</f>
        <v>1.0744110631586885</v>
      </c>
      <c r="D40" s="332">
        <f>F16</f>
        <v>1481.0052863999995</v>
      </c>
      <c r="F40" s="332">
        <f>D40/C40</f>
        <v>1378.434509084404</v>
      </c>
    </row>
    <row r="41" spans="1:8">
      <c r="A41">
        <f t="shared" ref="A41:A49" si="11">A29</f>
        <v>2</v>
      </c>
      <c r="B41" s="337">
        <f t="shared" ref="B41:B49" si="12">H29</f>
        <v>7.4411063158688603E-2</v>
      </c>
      <c r="C41" s="338">
        <f>C40*(1+B41)</f>
        <v>1.1543591326377833</v>
      </c>
      <c r="D41" s="332">
        <f t="shared" ref="D41:D49" si="13">F17</f>
        <v>1634.762110079999</v>
      </c>
      <c r="F41" s="332">
        <f t="shared" ref="F41:F48" si="14">D41/C41</f>
        <v>1416.1642281500945</v>
      </c>
    </row>
    <row r="42" spans="1:8">
      <c r="A42">
        <f t="shared" si="11"/>
        <v>3</v>
      </c>
      <c r="B42" s="337">
        <f t="shared" si="12"/>
        <v>7.4411063158688603E-2</v>
      </c>
      <c r="C42" s="338">
        <f t="shared" ref="C42:C49" si="15">C41*(1+B42)</f>
        <v>1.2402562229643024</v>
      </c>
      <c r="D42" s="332">
        <f t="shared" si="13"/>
        <v>1804.4602456319994</v>
      </c>
      <c r="F42" s="332">
        <f t="shared" si="14"/>
        <v>1454.9092455421901</v>
      </c>
    </row>
    <row r="43" spans="1:8">
      <c r="A43">
        <f t="shared" si="11"/>
        <v>4</v>
      </c>
      <c r="B43" s="337">
        <f t="shared" si="12"/>
        <v>7.4411063158688603E-2</v>
      </c>
      <c r="C43" s="338">
        <f t="shared" si="15"/>
        <v>1.3325450071042555</v>
      </c>
      <c r="D43" s="332">
        <f t="shared" si="13"/>
        <v>1991.7503871936001</v>
      </c>
      <c r="F43" s="332">
        <f t="shared" si="14"/>
        <v>1494.6965217496552</v>
      </c>
    </row>
    <row r="44" spans="1:8">
      <c r="A44">
        <f t="shared" si="11"/>
        <v>5</v>
      </c>
      <c r="B44" s="337">
        <f t="shared" si="12"/>
        <v>7.4411063158688603E-2</v>
      </c>
      <c r="C44" s="338">
        <f t="shared" si="15"/>
        <v>1.4317010977896854</v>
      </c>
      <c r="D44" s="332">
        <f t="shared" si="13"/>
        <v>2198.4539546112001</v>
      </c>
      <c r="F44" s="332">
        <f t="shared" si="14"/>
        <v>1535.5537255683166</v>
      </c>
    </row>
    <row r="45" spans="1:8">
      <c r="A45">
        <f t="shared" si="11"/>
        <v>6</v>
      </c>
      <c r="B45" s="337">
        <f t="shared" si="12"/>
        <v>7.212885052695088E-2</v>
      </c>
      <c r="C45" s="338">
        <f t="shared" si="15"/>
        <v>1.5349680522714291</v>
      </c>
      <c r="D45" s="332">
        <f t="shared" si="13"/>
        <v>2558.8389037724055</v>
      </c>
      <c r="F45" s="332">
        <f t="shared" si="14"/>
        <v>1667.0307241807825</v>
      </c>
    </row>
    <row r="46" spans="1:8">
      <c r="A46">
        <f t="shared" si="11"/>
        <v>7</v>
      </c>
      <c r="B46" s="337">
        <f t="shared" si="12"/>
        <v>6.9846637895213157E-2</v>
      </c>
      <c r="C46" s="338">
        <f t="shared" si="15"/>
        <v>1.6421804099991522</v>
      </c>
      <c r="D46" s="332">
        <f t="shared" si="13"/>
        <v>2925.8626955313166</v>
      </c>
      <c r="F46" s="332">
        <f t="shared" si="14"/>
        <v>1781.6938246954408</v>
      </c>
    </row>
    <row r="47" spans="1:8">
      <c r="A47">
        <f t="shared" si="11"/>
        <v>8</v>
      </c>
      <c r="B47" s="337">
        <f t="shared" si="12"/>
        <v>6.7564425263475433E-2</v>
      </c>
      <c r="C47" s="338">
        <f t="shared" si="15"/>
        <v>1.7531333855796833</v>
      </c>
      <c r="D47" s="332">
        <f t="shared" si="13"/>
        <v>3286.7452222143484</v>
      </c>
      <c r="F47" s="332">
        <f t="shared" si="14"/>
        <v>1874.7833161180531</v>
      </c>
    </row>
    <row r="48" spans="1:8">
      <c r="A48">
        <f t="shared" si="11"/>
        <v>9</v>
      </c>
      <c r="B48" s="337">
        <f t="shared" si="12"/>
        <v>6.528221263173771E-2</v>
      </c>
      <c r="C48" s="338">
        <f t="shared" si="15"/>
        <v>1.8675818120288943</v>
      </c>
      <c r="D48" s="332">
        <f t="shared" si="13"/>
        <v>3627.2363691715045</v>
      </c>
      <c r="F48" s="332">
        <f t="shared" si="14"/>
        <v>1942.2101595811566</v>
      </c>
    </row>
    <row r="49" spans="1:6">
      <c r="A49">
        <f t="shared" si="11"/>
        <v>10</v>
      </c>
      <c r="B49" s="337">
        <f t="shared" si="12"/>
        <v>6.2999999999999987E-2</v>
      </c>
      <c r="C49" s="338">
        <f t="shared" si="15"/>
        <v>1.9852394661867145</v>
      </c>
      <c r="D49" s="332">
        <f t="shared" si="13"/>
        <v>3932.4538153997159</v>
      </c>
      <c r="E49" s="332">
        <f>'Valuation output'!B18</f>
        <v>68484.066610720503</v>
      </c>
      <c r="F49" s="332">
        <f>(D49+E49)/C49</f>
        <v>36477.47370508367</v>
      </c>
    </row>
    <row r="50" spans="1:6">
      <c r="A50" t="s">
        <v>44</v>
      </c>
      <c r="F50" s="332">
        <f>SUM(F40:F49)</f>
        <v>51022.949959753765</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1.7999999999999999E-2</v>
      </c>
    </row>
    <row r="8" spans="1:7" ht="14">
      <c r="A8" s="8" t="s">
        <v>70</v>
      </c>
      <c r="B8" s="8"/>
      <c r="D8" s="12">
        <f>'Input sheet'!B33</f>
        <v>23.5</v>
      </c>
    </row>
    <row r="9" spans="1:7" ht="14">
      <c r="A9" s="8" t="s">
        <v>71</v>
      </c>
      <c r="B9" s="8"/>
      <c r="D9" s="13">
        <f>'Input sheet'!B19</f>
        <v>359.81</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359.81</v>
      </c>
      <c r="G14" s="20"/>
    </row>
    <row r="15" spans="1:7" s="8" customFormat="1" ht="14">
      <c r="A15" s="8" t="s">
        <v>78</v>
      </c>
      <c r="C15" s="18">
        <f ca="1">(C13*F14+C26*F13)/(F14+F13)</f>
        <v>124.77430654852652</v>
      </c>
      <c r="D15" s="8" t="s">
        <v>79</v>
      </c>
      <c r="F15" s="22">
        <f>D7</f>
        <v>1.7999999999999999E-2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12" workbookViewId="0">
      <selection activeCell="E14" sqref="E14"/>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359.81</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218.49</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0.9411486452330633</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6.0634272584147393E-2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6096</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131</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471</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3.0499999999999999E-2</v>
      </c>
      <c r="G25" s="19" t="str">
        <f>'Country equity risk premiums'!A198</f>
        <v>US</v>
      </c>
      <c r="H25" s="230">
        <v>4741</v>
      </c>
      <c r="I25" s="24">
        <f>'Country equity risk premiums'!B198</f>
        <v>5.1999999999999998E-2</v>
      </c>
      <c r="J25" s="123">
        <f t="shared" si="2"/>
        <v>0.31891564644154446</v>
      </c>
      <c r="K25" s="165">
        <f t="shared" si="3"/>
        <v>1.6583613614960312E-2</v>
      </c>
    </row>
    <row r="26" spans="1:17" s="8" customFormat="1" ht="15" customHeight="1">
      <c r="A26" s="8" t="s">
        <v>192</v>
      </c>
      <c r="B26" s="236">
        <f>'Input sheet'!B22</f>
        <v>0.25</v>
      </c>
      <c r="G26" s="19" t="str">
        <f>'Country equity risk premiums'!A199</f>
        <v>Europe</v>
      </c>
      <c r="H26" s="230">
        <v>6452</v>
      </c>
      <c r="I26" s="24">
        <f>'Country equity risk premiums'!B199</f>
        <v>6.3499442653654425E-2</v>
      </c>
      <c r="J26" s="123">
        <f t="shared" si="2"/>
        <v>0.4340104937441141</v>
      </c>
      <c r="K26" s="165">
        <f t="shared" si="3"/>
        <v>2.7559424458588618E-2</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3673</v>
      </c>
      <c r="I28" s="24">
        <f>'Country equity risk premiums'!B201</f>
        <v>6.6746172674804469E-2</v>
      </c>
      <c r="J28" s="123">
        <f t="shared" si="2"/>
        <v>0.24707385981434146</v>
      </c>
      <c r="K28" s="165">
        <f t="shared" si="3"/>
        <v>1.6491234510598467E-2</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14866</v>
      </c>
      <c r="I32" s="125"/>
      <c r="J32" s="123">
        <f>SUM(J21:J31)</f>
        <v>1</v>
      </c>
      <c r="K32" s="166">
        <f>SUM(K21:K31)</f>
        <v>6.0634272584147393E-2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5892.0711052155693</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0.99405193388128354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78614.886899999998</v>
      </c>
      <c r="C48" s="122">
        <f>C41+C42+C43</f>
        <v>5892.0711052155693</v>
      </c>
      <c r="D48" s="122">
        <f>B36*B37</f>
        <v>0</v>
      </c>
      <c r="E48" s="121">
        <f>SUM(B48:D48)</f>
        <v>84506.958005215565</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0.93027708907884343</v>
      </c>
      <c r="C49" s="123">
        <f>C48/$E$48</f>
        <v>6.9722910921156636E-2</v>
      </c>
      <c r="D49" s="123">
        <f>D48/$E$48</f>
        <v>0</v>
      </c>
      <c r="E49" s="124">
        <f>SUM(B49:D49)</f>
        <v>1</v>
      </c>
      <c r="F49" s="8"/>
    </row>
    <row r="50" spans="1:11" ht="20" thickBot="1">
      <c r="A50" s="19" t="s">
        <v>210</v>
      </c>
      <c r="B50" s="125">
        <f>B12+C45*B15</f>
        <v>7.8273615921756606E-2</v>
      </c>
      <c r="C50" s="123">
        <f>B25*(1-B26)</f>
        <v>2.2875E-2</v>
      </c>
      <c r="D50" s="126">
        <f>B38/B37</f>
        <v>7.1428571428571425E-2</v>
      </c>
      <c r="E50" s="127">
        <f>B49*B50+C49*C50+D49*D50</f>
        <v>7.4411063158688603E-2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282.3</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259.7</v>
      </c>
      <c r="C11" s="185" t="s">
        <v>416</v>
      </c>
      <c r="D11" s="185"/>
      <c r="E11" s="185"/>
      <c r="F11" s="185"/>
      <c r="G11" s="185"/>
      <c r="H11" s="185"/>
      <c r="I11" s="185"/>
    </row>
    <row r="12" spans="1:10" s="186" customFormat="1" ht="14">
      <c r="A12" s="187">
        <f>IF((0-A11)&lt;$F$6,IF(A11&gt;-1,,A11-1),)</f>
        <v>-2</v>
      </c>
      <c r="B12" s="188">
        <v>238.3</v>
      </c>
      <c r="C12" s="185" t="s">
        <v>417</v>
      </c>
      <c r="D12" s="185"/>
      <c r="E12" s="185"/>
      <c r="F12" s="185"/>
      <c r="G12" s="185"/>
      <c r="H12" s="185"/>
      <c r="I12" s="185"/>
    </row>
    <row r="13" spans="1:10" s="186" customFormat="1" ht="14">
      <c r="A13" s="187">
        <f t="shared" ref="A13:A20" si="0">IF((0-A12)&lt;$F$6,IF(A12&gt;-1,,A12-1),)</f>
        <v>-3</v>
      </c>
      <c r="B13" s="188">
        <v>185.1</v>
      </c>
      <c r="C13" s="185"/>
      <c r="D13" s="185"/>
      <c r="E13" s="185"/>
      <c r="F13" s="185"/>
      <c r="G13" s="185"/>
      <c r="H13" s="185"/>
      <c r="I13" s="185"/>
    </row>
    <row r="14" spans="1:10" s="186" customFormat="1" ht="14">
      <c r="A14" s="187">
        <f t="shared" si="0"/>
        <v>-4</v>
      </c>
      <c r="B14" s="188">
        <v>166.5</v>
      </c>
      <c r="C14" s="185"/>
      <c r="D14" s="185"/>
      <c r="E14" s="185"/>
      <c r="F14" s="185"/>
      <c r="G14" s="185"/>
      <c r="H14" s="185"/>
      <c r="I14" s="185"/>
    </row>
    <row r="15" spans="1:10" s="186" customFormat="1" ht="14">
      <c r="A15" s="187">
        <f t="shared" si="0"/>
        <v>-5</v>
      </c>
      <c r="B15" s="188">
        <v>148.5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282.3</v>
      </c>
      <c r="C24" s="184">
        <f>1</f>
        <v>1</v>
      </c>
      <c r="D24" s="184">
        <f>B24*C24</f>
        <v>282.3</v>
      </c>
      <c r="E24" s="185"/>
      <c r="F24" s="185"/>
      <c r="G24" s="185"/>
      <c r="H24" s="185"/>
      <c r="I24" s="185"/>
    </row>
    <row r="25" spans="1:9" s="186" customFormat="1" ht="14">
      <c r="A25" s="187">
        <f>A11</f>
        <v>-1</v>
      </c>
      <c r="B25" s="184">
        <f>B11</f>
        <v>259.7</v>
      </c>
      <c r="C25" s="184">
        <f>IF(A25&lt;0,($F$6+A25)/$F$6,0)</f>
        <v>0.8</v>
      </c>
      <c r="D25" s="184">
        <f>B25*C25</f>
        <v>207.76</v>
      </c>
      <c r="E25" s="192">
        <f t="shared" ref="E25:E34" si="1">IF(A25&lt;0,B25/$F$6,0)</f>
        <v>51.94</v>
      </c>
      <c r="F25" s="185"/>
      <c r="G25" s="185"/>
      <c r="H25" s="185"/>
      <c r="I25" s="185"/>
    </row>
    <row r="26" spans="1:9" s="186" customFormat="1" ht="14">
      <c r="A26" s="187">
        <f t="shared" ref="A26:B34" si="2">A12</f>
        <v>-2</v>
      </c>
      <c r="B26" s="184">
        <f t="shared" si="2"/>
        <v>238.3</v>
      </c>
      <c r="C26" s="184">
        <f>IF(A26&lt;0,($F$6+A26)/$F$6,0)</f>
        <v>0.6</v>
      </c>
      <c r="D26" s="184">
        <f t="shared" ref="D26:D34" si="3">B26*C26</f>
        <v>142.97999999999999</v>
      </c>
      <c r="E26" s="192">
        <f t="shared" si="1"/>
        <v>47.660000000000004</v>
      </c>
      <c r="F26" s="185"/>
      <c r="G26" s="185"/>
      <c r="H26" s="185"/>
      <c r="I26" s="185"/>
    </row>
    <row r="27" spans="1:9" s="186" customFormat="1" ht="14">
      <c r="A27" s="187">
        <f t="shared" si="2"/>
        <v>-3</v>
      </c>
      <c r="B27" s="184">
        <f t="shared" si="2"/>
        <v>185.1</v>
      </c>
      <c r="C27" s="184">
        <f>IF(A27&lt;0,($F$6+A27)/$F$6,0)</f>
        <v>0.4</v>
      </c>
      <c r="D27" s="184">
        <f t="shared" si="3"/>
        <v>74.040000000000006</v>
      </c>
      <c r="E27" s="192">
        <f t="shared" si="1"/>
        <v>37.019999999999996</v>
      </c>
      <c r="F27" s="185"/>
      <c r="G27" s="185"/>
      <c r="H27" s="185"/>
      <c r="I27" s="185"/>
    </row>
    <row r="28" spans="1:9" s="186" customFormat="1" ht="14">
      <c r="A28" s="187">
        <f t="shared" si="2"/>
        <v>-4</v>
      </c>
      <c r="B28" s="184">
        <f t="shared" si="2"/>
        <v>166.5</v>
      </c>
      <c r="C28" s="184">
        <f t="shared" ref="C28:C34" si="4">IF(A28&lt;0,($F$6+A28)/$F$6,0)</f>
        <v>0.2</v>
      </c>
      <c r="D28" s="184">
        <f t="shared" si="3"/>
        <v>33.300000000000004</v>
      </c>
      <c r="E28" s="192">
        <f t="shared" si="1"/>
        <v>33.299999999999997</v>
      </c>
      <c r="F28" s="185"/>
      <c r="G28" s="185"/>
      <c r="H28" s="185"/>
      <c r="I28" s="185"/>
    </row>
    <row r="29" spans="1:9" s="186" customFormat="1" ht="14">
      <c r="A29" s="187">
        <f t="shared" si="2"/>
        <v>-5</v>
      </c>
      <c r="B29" s="184">
        <f t="shared" si="2"/>
        <v>148.5</v>
      </c>
      <c r="C29" s="184">
        <f t="shared" si="4"/>
        <v>0</v>
      </c>
      <c r="D29" s="184">
        <f t="shared" si="3"/>
        <v>0</v>
      </c>
      <c r="E29" s="192">
        <f t="shared" si="1"/>
        <v>29.7</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740.37999999999988</v>
      </c>
      <c r="E35" s="25">
        <f>SUM(E25:E34)</f>
        <v>199.62</v>
      </c>
    </row>
    <row r="36" spans="1:9" ht="13" thickBot="1"/>
    <row r="37" spans="1:9" s="8" customFormat="1" ht="15" thickBot="1">
      <c r="A37" s="8" t="s">
        <v>423</v>
      </c>
      <c r="D37" s="195">
        <f>E35</f>
        <v>199.62</v>
      </c>
    </row>
    <row r="38" spans="1:9" s="8" customFormat="1" ht="15" thickBot="1"/>
    <row r="39" spans="1:9" s="8" customFormat="1" ht="14">
      <c r="A39" s="8" t="s">
        <v>424</v>
      </c>
      <c r="D39" s="196">
        <f>F7-D37</f>
        <v>82.68</v>
      </c>
      <c r="E39" s="8" t="s">
        <v>425</v>
      </c>
    </row>
    <row r="40" spans="1:9" ht="14">
      <c r="A40" t="s">
        <v>426</v>
      </c>
      <c r="D40" s="197">
        <f>D39*'Input sheet'!B22</f>
        <v>20.67</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35</v>
      </c>
    </row>
    <row r="5" spans="1:11" s="15" customFormat="1" ht="14">
      <c r="A5" s="15" t="s">
        <v>119</v>
      </c>
    </row>
    <row r="6" spans="1:11" s="8" customFormat="1" ht="14">
      <c r="A6" s="30" t="s">
        <v>120</v>
      </c>
      <c r="B6" s="30" t="s">
        <v>121</v>
      </c>
      <c r="C6" s="8" t="s">
        <v>122</v>
      </c>
    </row>
    <row r="7" spans="1:11" s="8" customFormat="1" ht="14">
      <c r="A7" s="30">
        <v>1</v>
      </c>
      <c r="B7" s="327">
        <v>35</v>
      </c>
    </row>
    <row r="8" spans="1:11" s="8" customFormat="1" ht="14">
      <c r="A8" s="30">
        <v>2</v>
      </c>
      <c r="B8" s="327">
        <v>25</v>
      </c>
    </row>
    <row r="9" spans="1:11" s="8" customFormat="1" ht="14">
      <c r="A9" s="30">
        <v>3</v>
      </c>
      <c r="B9" s="327">
        <v>17</v>
      </c>
    </row>
    <row r="10" spans="1:11" s="8" customFormat="1" ht="14">
      <c r="A10" s="30">
        <v>4</v>
      </c>
      <c r="B10" s="327">
        <v>12</v>
      </c>
    </row>
    <row r="11" spans="1:11" s="8" customFormat="1" ht="14">
      <c r="A11" s="30">
        <v>5</v>
      </c>
      <c r="B11" s="327">
        <v>10</v>
      </c>
    </row>
    <row r="12" spans="1:11" s="8" customFormat="1" ht="14">
      <c r="A12" s="30" t="s">
        <v>123</v>
      </c>
      <c r="B12" s="326">
        <v>7</v>
      </c>
    </row>
    <row r="13" spans="1:11" s="8" customFormat="1" ht="14"/>
    <row r="14" spans="1:11" s="31" customFormat="1" ht="17" thickBot="1">
      <c r="A14" s="31" t="s">
        <v>124</v>
      </c>
    </row>
    <row r="15" spans="1:11" s="8" customFormat="1" ht="15" thickBot="1">
      <c r="A15" s="8" t="s">
        <v>125</v>
      </c>
      <c r="C15" s="80">
        <f>'Cost of capital worksheet'!B25</f>
        <v>3.0499999999999999E-2</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35</v>
      </c>
      <c r="C22" s="9">
        <f>B22/(1+$C$15)^A22</f>
        <v>33.964095099466277</v>
      </c>
    </row>
    <row r="23" spans="1:7" s="8" customFormat="1" ht="14">
      <c r="A23" s="19">
        <f t="shared" ref="A23:B26" si="0">A8</f>
        <v>2</v>
      </c>
      <c r="B23" s="28">
        <f t="shared" si="0"/>
        <v>25</v>
      </c>
      <c r="C23" s="9">
        <f>B23/(1+$C$15)^A23</f>
        <v>23.542035835216112</v>
      </c>
    </row>
    <row r="24" spans="1:7" s="8" customFormat="1" ht="14">
      <c r="A24" s="19">
        <f t="shared" si="0"/>
        <v>3</v>
      </c>
      <c r="B24" s="28">
        <f t="shared" si="0"/>
        <v>17</v>
      </c>
      <c r="C24" s="9">
        <f>B24/(1+$C$15)^A24</f>
        <v>15.534773768022278</v>
      </c>
    </row>
    <row r="25" spans="1:7" s="8" customFormat="1" ht="14">
      <c r="A25" s="19">
        <f t="shared" si="0"/>
        <v>4</v>
      </c>
      <c r="B25" s="28">
        <f t="shared" si="0"/>
        <v>12</v>
      </c>
      <c r="C25" s="9">
        <f>B25/(1+$C$15)^A25</f>
        <v>10.64116706431871</v>
      </c>
    </row>
    <row r="26" spans="1:7" s="8" customFormat="1" ht="14">
      <c r="A26" s="19">
        <f t="shared" si="0"/>
        <v>5</v>
      </c>
      <c r="B26" s="28">
        <f t="shared" si="0"/>
        <v>10</v>
      </c>
      <c r="C26" s="9">
        <f>B26/(1+$C$15)^A26</f>
        <v>8.6051811938530722</v>
      </c>
    </row>
    <row r="27" spans="1:7" s="8" customFormat="1" ht="15" thickBot="1">
      <c r="A27" s="36" t="str">
        <f>A12</f>
        <v>6 and beyond</v>
      </c>
      <c r="B27" s="37">
        <f>IF(B12&gt;0,IF(D18&gt;0,B12/D18,B12),0)</f>
        <v>7</v>
      </c>
      <c r="C27" s="38">
        <f>IF(D18&gt;0,(B27*(1-(1+C15)^(-D18))/C15)/(1+$C$15)^5,B27/(1+C15)^6)</f>
        <v>5.8453438483232913</v>
      </c>
      <c r="D27" s="8" t="s">
        <v>131</v>
      </c>
    </row>
    <row r="28" spans="1:7" s="8" customFormat="1" ht="15" thickBot="1">
      <c r="A28" s="32" t="s">
        <v>132</v>
      </c>
      <c r="B28" s="39"/>
      <c r="C28" s="40">
        <f>SUM(C22:C27)</f>
        <v>98.13259680919974</v>
      </c>
    </row>
    <row r="29" spans="1:7" s="8" customFormat="1" ht="14"/>
    <row r="30" spans="1:7" s="8" customFormat="1" ht="14">
      <c r="A30" s="15" t="s">
        <v>133</v>
      </c>
    </row>
    <row r="31" spans="1:7" s="8" customFormat="1" ht="15" thickBot="1">
      <c r="A31" s="8" t="s">
        <v>134</v>
      </c>
      <c r="F31" s="38">
        <f>C28/(5+D18)</f>
        <v>19.626519361839946</v>
      </c>
      <c r="G31" s="8" t="s">
        <v>135</v>
      </c>
    </row>
    <row r="32" spans="1:7" s="8" customFormat="1" ht="15" thickBot="1">
      <c r="A32" s="8" t="s">
        <v>136</v>
      </c>
      <c r="F32" s="81">
        <f>E4-F31</f>
        <v>15.373480638160054</v>
      </c>
      <c r="G32" s="8" t="s">
        <v>138</v>
      </c>
    </row>
    <row r="33" spans="1:7" s="8" customFormat="1" ht="15" thickBot="1">
      <c r="A33" s="8" t="s">
        <v>137</v>
      </c>
      <c r="F33" s="41">
        <f>C28</f>
        <v>98.13259680919974</v>
      </c>
      <c r="G33" s="8" t="s">
        <v>139</v>
      </c>
    </row>
    <row r="34" spans="1:7" ht="14">
      <c r="A34" s="8" t="s">
        <v>498</v>
      </c>
      <c r="F34" s="241">
        <f>C28/(5+D18)</f>
        <v>19.626519361839946</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2020-01-16T03:50:55Z</dcterms:modified>
</cp:coreProperties>
</file>