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FBF9C6BA-82C7-8F47-AACC-10064BC5BBBB}"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30" i="13"/>
  <c r="D37" i="28" s="1"/>
  <c r="D39" i="28" l="1"/>
  <c r="B31" i="13"/>
  <c r="B33" i="13" s="1"/>
  <c r="B9" i="12" l="1"/>
  <c r="B10" i="12" s="1"/>
  <c r="B35" i="13"/>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<sst xmlns="http://schemas.openxmlformats.org/spreadsheetml/2006/main" count="1384" uniqueCount="752">
  <si>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</si>
  <si>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</si>
  <si>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</si>
  <si>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</si>
  <si>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</si>
  <si>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</si>
  <si>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</si>
  <si>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</si>
  <si>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</si>
  <si>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</si>
  <si>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</si>
  <si>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</si>
  <si>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</si>
  <si>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</si>
  <si>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</si>
  <si>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</si>
  <si>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</si>
  <si>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</si>
  <si>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</si>
  <si>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</si>
  <si>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</si>
  <si>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</si>
  <si>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</si>
  <si>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</si>
  <si>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</si>
  <si>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</si>
  <si>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</si>
  <si>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</si>
  <si>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</si>
  <si>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</si>
  <si>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</si>
  <si>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</si>
  <si>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</si>
  <si>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</si>
  <si>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</si>
  <si>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</si>
  <si>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</si>
  <si>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</si>
  <si>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</si>
  <si>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</si>
  <si>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</si>
  <si>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</si>
  <si>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</si>
  <si>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</si>
  <si>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</si>
  <si>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</si>
  <si>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</si>
  <si>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</si>
  <si>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</si>
  <si>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</si>
  <si>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</si>
  <si>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</si>
  <si>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</si>
  <si>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</si>
  <si>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</si>
  <si>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</si>
  <si>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</si>
  <si>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</si>
  <si>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</si>
  <si>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</si>
  <si>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</si>
  <si>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</si>
  <si>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</si>
  <si>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</si>
  <si>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</si>
  <si>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</si>
  <si>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</si>
  <si>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</si>
  <si>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</si>
  <si>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</si>
  <si>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</si>
  <si>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</si>
  <si>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</si>
  <si>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</si>
  <si>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</si>
  <si>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</si>
  <si>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</si>
  <si>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</si>
  <si>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</si>
  <si>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</si>
  <si>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</si>
  <si>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</si>
  <si>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</si>
  <si>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</si>
  <si>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</si>
  <si>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</si>
  <si>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</si>
  <si>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</si>
  <si>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</si>
  <si>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</si>
  <si>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</si>
  <si>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</si>
  <si>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</si>
  <si>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</si>
  <si>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</si>
  <si>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</si>
  <si>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</si>
  <si>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</si>
  <si>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</si>
  <si>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</si>
  <si>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</si>
  <si>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</si>
  <si>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</si>
  <si>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</si>
  <si>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</si>
  <si>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</si>
  <si>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</si>
  <si>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</si>
  <si>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</si>
  <si>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</si>
  <si>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</si>
  <si>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</si>
  <si>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</si>
  <si>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</si>
  <si>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</si>
  <si>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</si>
  <si>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</si>
  <si>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</si>
  <si>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</si>
  <si>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</si>
  <si>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</si>
  <si>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</si>
  <si>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</si>
  <si>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</si>
  <si>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</si>
  <si>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</si>
  <si>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</si>
  <si>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</si>
  <si>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</si>
  <si>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</si>
  <si>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</si>
  <si>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</si>
  <si>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</si>
  <si>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</si>
  <si>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</si>
  <si>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</si>
  <si>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</si>
  <si>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</si>
  <si>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</si>
  <si>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</si>
  <si>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</si>
  <si>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</si>
  <si>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</si>
  <si>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</si>
  <si>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</si>
  <si>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</si>
  <si>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</si>
  <si>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</si>
  <si>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</si>
  <si>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</si>
  <si>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</si>
  <si>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</si>
  <si>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</si>
  <si>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</si>
  <si>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</si>
  <si>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</si>
  <si>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</si>
  <si>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</si>
  <si>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</si>
  <si>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</si>
  <si>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</si>
  <si>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</si>
  <si>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</si>
  <si>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</si>
  <si>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</si>
  <si>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</si>
  <si>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</si>
  <si>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</si>
  <si>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</si>
  <si>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</si>
  <si>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</si>
  <si>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</si>
  <si>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</si>
  <si>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</si>
  <si>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</si>
  <si>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</si>
  <si>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</si>
  <si>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</si>
  <si>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</si>
  <si>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</si>
  <si>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</si>
  <si>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</si>
  <si>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</si>
  <si>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</si>
  <si>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</si>
  <si>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</si>
  <si>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</si>
  <si>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</si>
  <si>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</si>
  <si>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</si>
  <si>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</si>
  <si>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</si>
  <si>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</si>
  <si>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</si>
  <si>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</si>
  <si>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</si>
  <si>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</si>
  <si>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</si>
  <si>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</si>
  <si>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</si>
  <si>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</si>
  <si>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</si>
  <si>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</si>
  <si>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</si>
  <si>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</si>
  <si>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</si>
  <si>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</si>
  <si>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</si>
  <si>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</si>
  <si>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</si>
  <si>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</si>
  <si>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</si>
  <si>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</si>
  <si>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</si>
  <si>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</si>
  <si>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</si>
  <si>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</si>
  <si>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</si>
  <si>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</si>
  <si>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</si>
  <si>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</si>
  <si>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</si>
  <si>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</si>
  <si>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</si>
  <si>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</si>
  <si>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</si>
  <si>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</si>
  <si>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</si>
  <si>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</si>
  <si>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</si>
  <si>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</si>
  <si>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</si>
  <si>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</si>
  <si>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</si>
  <si>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</si>
  <si>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</si>
  <si>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</si>
  <si>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</si>
  <si>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</si>
  <si>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</si>
  <si>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</si>
  <si>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</si>
  <si>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</si>
  <si>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</si>
  <si>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</si>
  <si>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</si>
  <si>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</si>
  <si>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</si>
  <si>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</si>
  <si>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</si>
  <si>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</si>
  <si>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</si>
  <si>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</si>
  <si>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</si>
  <si>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</si>
  <si>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</si>
  <si>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</si>
  <si>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</si>
  <si>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</si>
  <si>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</si>
  <si>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</si>
  <si>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</si>
  <si>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</si>
  <si>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</si>
  <si>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</si>
  <si>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</si>
  <si>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</si>
  <si>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</si>
  <si>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</si>
  <si>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</si>
  <si>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</si>
  <si>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</si>
  <si>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</si>
  <si>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</si>
  <si>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</si>
  <si>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</si>
  <si>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</si>
  <si>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</si>
  <si>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</si>
  <si>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</si>
  <si>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</si>
  <si>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</si>
  <si>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</si>
  <si>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</si>
  <si>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</si>
  <si>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</si>
  <si>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</si>
  <si>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</si>
  <si>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</si>
  <si>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</si>
  <si>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</si>
  <si>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</si>
  <si>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</si>
  <si>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</si>
  <si>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</si>
  <si>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</si>
  <si>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</si>
  <si>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</si>
  <si>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</si>
  <si>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</si>
  <si>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</si>
  <si>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</si>
  <si>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</si>
  <si>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</si>
  <si>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</si>
  <si>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</si>
  <si>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</si>
  <si>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</si>
  <si>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</si>
  <si>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</si>
  <si>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</si>
  <si>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</si>
  <si>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</si>
  <si>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</si>
  <si>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</si>
  <si>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</si>
  <si>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</si>
  <si>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</si>
  <si>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</si>
  <si>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</si>
  <si>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</si>
  <si>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</si>
  <si>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</si>
  <si>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</si>
  <si>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</si>
  <si>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</si>
  <si>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</si>
  <si>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</si>
  <si>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</si>
  <si>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</si>
  <si>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</si>
  <si>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</si>
  <si>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</si>
  <si>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</si>
  <si>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</si>
  <si>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</si>
  <si>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</si>
  <si>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</si>
  <si>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</si>
  <si>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</si>
  <si>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</si>
  <si>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</si>
  <si>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</si>
  <si>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</si>
  <si>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</si>
  <si>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</si>
  <si>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</si>
  <si>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</si>
  <si>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</si>
  <si>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</si>
  <si>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</si>
  <si>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</si>
  <si>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</si>
  <si>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</si>
  <si>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</si>
  <si>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</si>
  <si>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</si>
  <si>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</si>
  <si>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</si>
  <si>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</si>
  <si>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</si>
  <si>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</si>
  <si>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</si>
  <si>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</si>
  <si>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</si>
  <si>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</si>
  <si>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</si>
  <si>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</si>
  <si>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</si>
  <si>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</si>
  <si>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</si>
  <si>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</si>
  <si>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</si>
  <si>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</si>
  <si>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</si>
  <si>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</si>
  <si>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</si>
  <si>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</si>
  <si>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</si>
  <si>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</si>
  <si>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</si>
  <si>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</si>
  <si>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</si>
  <si>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</si>
  <si>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</si>
  <si>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</si>
  <si>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</si>
  <si>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</si>
  <si>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</si>
  <si>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</si>
  <si>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</si>
  <si>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</si>
  <si>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</si>
  <si>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</si>
  <si>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</si>
  <si>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</si>
  <si>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</si>
  <si>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</si>
  <si>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</si>
  <si>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</si>
  <si>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</si>
  <si>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</si>
  <si>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</si>
  <si>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</si>
  <si>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</si>
  <si>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</si>
  <si>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</si>
  <si>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</si>
  <si>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</si>
  <si>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</si>
  <si>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</si>
  <si>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</si>
  <si>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</si>
  <si>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</si>
  <si>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</si>
  <si>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</si>
  <si>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</si>
  <si>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</si>
  <si>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</si>
  <si>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</si>
  <si>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</si>
  <si>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</si>
  <si>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</si>
  <si>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</si>
  <si>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</si>
  <si>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</si>
  <si>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</si>
  <si>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</si>
  <si>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</si>
  <si>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</si>
  <si>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</si>
  <si>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</si>
  <si>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</si>
  <si>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</si>
  <si>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</si>
  <si>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</si>
  <si>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</si>
  <si>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</si>
  <si>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</si>
  <si>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</si>
  <si>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</si>
  <si>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</si>
  <si>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</si>
  <si>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</si>
  <si>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</si>
  <si>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</si>
  <si>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</si>
  <si>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</si>
  <si>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</si>
  <si>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</si>
  <si>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</si>
  <si>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</si>
  <si>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</si>
  <si>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</si>
  <si>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</si>
  <si>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</si>
  <si>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</si>
  <si>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</si>
  <si>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</si>
  <si>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</si>
  <si>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</si>
  <si>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</si>
  <si>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</si>
  <si>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</si>
  <si>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</si>
  <si>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</si>
  <si>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</si>
  <si>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</si>
  <si>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</si>
  <si>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</si>
  <si>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</si>
  <si>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</si>
  <si>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</si>
  <si>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</si>
  <si>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</si>
  <si>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</si>
  <si>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</si>
  <si>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</si>
  <si>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</si>
  <si>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</si>
  <si>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</si>
  <si>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</si>
  <si>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</si>
  <si>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</si>
  <si>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</si>
  <si>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</si>
  <si>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</si>
  <si>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</si>
  <si>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</si>
  <si>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</si>
  <si>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</si>
  <si>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</si>
  <si>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</si>
  <si>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</si>
  <si>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</si>
  <si>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</si>
  <si>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</si>
  <si>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</si>
  <si>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</si>
  <si>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</si>
  <si>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</si>
  <si>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</si>
  <si>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</si>
  <si>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</si>
  <si>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</si>
  <si>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</si>
  <si>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</si>
  <si>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</si>
  <si>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</si>
  <si>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</si>
  <si>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</si>
  <si>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</si>
  <si>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</si>
  <si>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</si>
  <si>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</si>
  <si>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</si>
  <si>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</si>
  <si>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</si>
  <si>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</si>
  <si>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</si>
  <si>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</si>
  <si>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</si>
  <si>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</si>
  <si>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</si>
  <si>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</si>
  <si>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</si>
  <si>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</si>
  <si>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</si>
  <si>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</si>
  <si>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</si>
  <si>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</si>
  <si>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</si>
  <si>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</si>
  <si>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</si>
  <si>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</si>
  <si>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</si>
  <si>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</si>
  <si>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</si>
  <si>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</si>
  <si>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</si>
  <si>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</si>
  <si>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</si>
  <si>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</si>
  <si>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</si>
  <si>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</si>
  <si>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</si>
  <si>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</si>
  <si>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</si>
  <si>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</si>
  <si>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</si>
  <si>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</si>
  <si>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</si>
  <si>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</si>
  <si>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</si>
  <si>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</si>
  <si>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</si>
  <si>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</si>
  <si>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</si>
  <si>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</si>
  <si>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</si>
  <si>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</si>
  <si>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</si>
  <si>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</si>
  <si>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</si>
  <si>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</si>
  <si>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</si>
  <si>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</si>
  <si>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</si>
  <si>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</si>
  <si>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</si>
  <si>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</si>
  <si>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</si>
  <si>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</si>
  <si>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</si>
  <si>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</si>
  <si>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</si>
  <si>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</si>
  <si>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</si>
  <si>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</si>
  <si>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</si>
  <si>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</si>
  <si>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</si>
  <si>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</si>
  <si>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</si>
  <si>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</si>
  <si>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</si>
  <si>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</si>
  <si>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</si>
  <si>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</si>
  <si>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</si>
  <si>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</si>
  <si>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</si>
  <si>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</si>
  <si>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</si>
  <si>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</si>
  <si>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</si>
  <si>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</si>
  <si>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</si>
  <si>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</si>
  <si>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</si>
  <si>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</si>
  <si>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</si>
  <si>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</si>
  <si>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</si>
  <si>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</si>
  <si>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</si>
  <si>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</si>
  <si>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</si>
  <si>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</si>
  <si>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</si>
  <si>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</si>
  <si>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</si>
  <si>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</si>
  <si>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</si>
  <si>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</si>
  <si>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</si>
  <si>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</si>
  <si>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</si>
  <si>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</si>
  <si>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</si>
  <si>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</si>
  <si>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</si>
  <si>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</si>
  <si>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</si>
  <si>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</si>
  <si>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</si>
  <si>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</si>
  <si>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</si>
  <si>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</si>
  <si>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</si>
  <si>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</si>
  <si>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</si>
  <si>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</si>
  <si>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</si>
  <si>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</si>
  <si>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</si>
  <si>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</si>
  <si>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</si>
  <si>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</si>
  <si>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</si>
  <si>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</si>
  <si>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</si>
  <si>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</si>
  <si>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</si>
  <si>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</si>
  <si>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</si>
  <si>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</si>
  <si>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</si>
  <si>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</si>
  <si>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</si>
  <si>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</si>
  <si>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</si>
  <si>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</si>
  <si>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</si>
  <si>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</si>
  <si>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</si>
  <si>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</si>
  <si>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</si>
  <si>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</si>
  <si>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</si>
  <si>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</si>
  <si>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</si>
  <si>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</si>
  <si>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</si>
  <si>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</si>
  <si>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</si>
  <si>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</si>
  <si>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</si>
  <si>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</si>
  <si>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</si>
  <si>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</si>
  <si>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</si>
  <si>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</si>
  <si>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</si>
  <si>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</si>
  <si>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</si>
  <si>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</si>
  <si>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</si>
  <si>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</si>
  <si>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</si>
  <si>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</si>
  <si>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</si>
  <si>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</si>
  <si>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</si>
  <si>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</si>
  <si>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</si>
  <si>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</si>
  <si>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</si>
  <si>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</si>
  <si>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</si>
  <si>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</si>
  <si>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</si>
  <si>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</si>
  <si>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</si>
  <si>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</si>
  <si>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</si>
  <si>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</si>
  <si>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</si>
  <si>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</si>
  <si>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</si>
  <si>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</si>
  <si>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</si>
  <si>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</si>
  <si>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</si>
  <si>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</si>
  <si>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</si>
  <si>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</si>
  <si>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</si>
  <si>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</si>
  <si>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</si>
  <si>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</si>
  <si>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</si>
  <si>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</si>
  <si>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</si>
  <si>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</si>
  <si>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</si>
  <si>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</si>
  <si>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</si>
  <si>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</si>
  <si>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</si>
  <si>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</si>
  <si>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</si>
  <si>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</si>
  <si>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</si>
  <si>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</si>
  <si>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</si>
  <si>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</si>
  <si>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</si>
  <si>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</si>
  <si>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</si>
  <si>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</si>
  <si>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</si>
  <si>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</si>
  <si>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</si>
  <si>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</si>
  <si>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</si>
  <si>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</si>
  <si>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</si>
  <si>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</si>
  <si>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</si>
  <si>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</si>
  <si>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</si>
  <si>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</si>
  <si>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</si>
  <si>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</si>
  <si>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</si>
  <si>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</si>
  <si>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</si>
  <si>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</si>
  <si>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</si>
  <si>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</si>
  <si>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Align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</si>
</sst>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2" sqref="D22"/>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542</v>
      </c>
      <c r="C6" s="82"/>
      <c r="D6" s="82"/>
      <c r="E6" s="82"/>
      <c r="F6" s="82"/>
      <c r="G6" s="82"/>
      <c r="H6" s="82"/>
      <c r="I6" s="82"/>
    </row>
    <row r="7" spans="1:10" s="56" customFormat="1" ht="13">
      <c r="A7" s="156" t="s">
        <v>430</v>
      </c>
      <c r="B7" s="157" t="s">
        <v>542</v>
      </c>
      <c r="C7" s="246" t="s">
        <v>389</v>
      </c>
      <c r="D7" s="246" t="s">
        <v>612</v>
      </c>
      <c r="E7" s="82"/>
      <c r="F7" s="82"/>
      <c r="G7" s="82"/>
      <c r="H7" s="82"/>
      <c r="I7" s="82"/>
    </row>
    <row r="8" spans="1:10" s="56" customFormat="1" ht="13">
      <c r="A8" s="60" t="s">
        <v>11</v>
      </c>
      <c r="B8" s="61">
        <v>2291</v>
      </c>
      <c r="C8" s="85">
        <v>1966</v>
      </c>
      <c r="D8" s="245">
        <v>0.75</v>
      </c>
    </row>
    <row r="9" spans="1:10" s="56" customFormat="1" ht="13">
      <c r="A9" s="60" t="s">
        <v>29</v>
      </c>
      <c r="B9" s="61">
        <v>483</v>
      </c>
      <c r="C9" s="85">
        <v>466</v>
      </c>
      <c r="D9" s="245">
        <v>0.75</v>
      </c>
    </row>
    <row r="10" spans="1:10" s="56" customFormat="1" ht="13">
      <c r="A10" s="60" t="s">
        <v>432</v>
      </c>
      <c r="B10" s="85">
        <v>0</v>
      </c>
      <c r="C10" s="85">
        <v>0</v>
      </c>
      <c r="D10" s="62"/>
    </row>
    <row r="11" spans="1:10" s="56" customFormat="1" ht="13">
      <c r="A11" s="60" t="s">
        <v>30</v>
      </c>
      <c r="B11" s="61">
        <v>1305</v>
      </c>
      <c r="C11" s="85">
        <v>1252</v>
      </c>
      <c r="D11" s="62"/>
    </row>
    <row r="12" spans="1:10" s="56" customFormat="1" ht="13">
      <c r="A12" s="60" t="s">
        <v>31</v>
      </c>
      <c r="B12" s="61">
        <v>0</v>
      </c>
      <c r="C12" s="85">
        <v>0</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782.4</v>
      </c>
      <c r="C15" s="85">
        <v>735.4</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78.81</v>
      </c>
      <c r="C19" s="62"/>
    </row>
    <row r="20" spans="1:11" s="56" customFormat="1" ht="13">
      <c r="A20" s="60" t="s">
        <v>33</v>
      </c>
      <c r="B20" s="61">
        <v>285.02999999999997</v>
      </c>
      <c r="C20" s="62"/>
      <c r="E20" s="86" t="s">
        <v>238</v>
      </c>
      <c r="F20" s="54"/>
      <c r="G20" s="54"/>
      <c r="H20" s="54"/>
      <c r="I20" s="54"/>
      <c r="J20" s="54"/>
      <c r="K20" s="55"/>
    </row>
    <row r="21" spans="1:11" s="56" customFormat="1" ht="13">
      <c r="A21" s="63" t="s">
        <v>103</v>
      </c>
      <c r="B21" s="64">
        <v>0.193</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0.22627752197495399</v>
      </c>
      <c r="J23" s="259">
        <f>VLOOKUP(B6,'Industry Average Beta (US)'!A2:S95,3)</f>
        <v>0.13970709677419346</v>
      </c>
      <c r="K23" s="260">
        <f>VLOOKUP(B7,'Industry Average Beta (Global)'!A2:N95,3)</f>
        <v>0.12436322916666659</v>
      </c>
    </row>
    <row r="24" spans="1:11" s="56" customFormat="1" ht="13">
      <c r="A24" s="60" t="s">
        <v>49</v>
      </c>
      <c r="B24" s="67">
        <v>0.2</v>
      </c>
      <c r="C24" s="62"/>
      <c r="E24" s="87" t="s">
        <v>170</v>
      </c>
      <c r="F24" s="82"/>
      <c r="G24" s="82"/>
      <c r="H24" s="82"/>
      <c r="I24" s="259">
        <f>'Valuation output'!B4</f>
        <v>0.24075076385857708</v>
      </c>
      <c r="J24" s="260">
        <f>VLOOKUP(B6,'Industry Average Beta (US)'!A2:S95,4)</f>
        <v>0.15298032120720137</v>
      </c>
      <c r="K24" s="260">
        <f>VLOOKUP(B7,'Industry Average Beta (Global)'!A2:N95,4)</f>
        <v>0.15081063839697381</v>
      </c>
    </row>
    <row r="25" spans="1:11" s="56" customFormat="1" ht="13">
      <c r="A25" s="60" t="s">
        <v>51</v>
      </c>
      <c r="B25" s="67">
        <v>0.24</v>
      </c>
      <c r="C25" s="62"/>
      <c r="E25" s="87" t="s">
        <v>171</v>
      </c>
      <c r="F25" s="82"/>
      <c r="G25" s="82"/>
      <c r="H25" s="82"/>
      <c r="I25" s="261">
        <f>B8/'Valuation output'!B39</f>
        <v>2.6075574778055999</v>
      </c>
      <c r="J25" s="261">
        <f>VLOOKUP(B6,'Industry Average Beta (US)'!A2:S95,14)</f>
        <v>1.0785653418391359</v>
      </c>
      <c r="K25" s="261">
        <f>VLOOKUP(B7,'Industry Average Beta (Global)'!A2:N95,14)</f>
        <v>1.0323776829315745</v>
      </c>
    </row>
    <row r="26" spans="1:11" s="56" customFormat="1" ht="13">
      <c r="A26" s="60" t="s">
        <v>673</v>
      </c>
      <c r="B26" s="68">
        <v>5</v>
      </c>
      <c r="C26" s="62"/>
      <c r="E26" s="87" t="s">
        <v>172</v>
      </c>
      <c r="F26" s="82"/>
      <c r="G26" s="82"/>
      <c r="H26" s="82"/>
      <c r="I26" s="260">
        <f>'Valuation output'!B7/'Valuation output'!B39</f>
        <v>0.50661156385158201</v>
      </c>
      <c r="J26" s="260">
        <f>VLOOKUP(B6,'Industry Average Beta (US)'!A2:S95,5)</f>
        <v>0.1655750160056694</v>
      </c>
      <c r="K26" s="260">
        <f>VLOOKUP(B7,'Industry Average Beta (Global)'!A2:N95,5)</f>
        <v>0.14987012377434</v>
      </c>
    </row>
    <row r="27" spans="1:11" s="56" customFormat="1" ht="13">
      <c r="A27" s="60" t="s">
        <v>37</v>
      </c>
      <c r="B27" s="68">
        <v>5</v>
      </c>
      <c r="C27" s="62"/>
      <c r="E27" s="87" t="s">
        <v>378</v>
      </c>
      <c r="F27" s="82"/>
      <c r="G27" s="82"/>
      <c r="H27" s="82"/>
      <c r="I27" s="168"/>
      <c r="J27" s="262">
        <f>VLOOKUP(B6,'Industry Average Beta (US)'!A2:S95,10)</f>
        <v>0.56321834039206675</v>
      </c>
      <c r="K27" s="260">
        <f>VLOOKUP(B6,'Industry Average Beta (Global)'!A2:Z95,10)</f>
        <v>0.48897443610574665</v>
      </c>
    </row>
    <row r="28" spans="1:11" s="56" customFormat="1" ht="14" thickBot="1">
      <c r="A28" s="65" t="s">
        <v>36</v>
      </c>
      <c r="B28" s="69"/>
      <c r="C28" s="62"/>
      <c r="E28" s="58" t="s">
        <v>377</v>
      </c>
      <c r="F28" s="59"/>
      <c r="G28" s="59"/>
      <c r="H28" s="59"/>
      <c r="I28" s="59"/>
      <c r="J28" s="263">
        <f>VLOOKUP(B6,'Industry Average Beta (US)'!A2:S95,13)</f>
        <v>8.5972903260083458E-2</v>
      </c>
      <c r="K28" s="260">
        <f>VLOOKUP(B6,'Industry Average Beta (Global)'!A2:Z95,13)</f>
        <v>0.1067928749095397</v>
      </c>
    </row>
    <row r="29" spans="1:11" s="56" customFormat="1" ht="14" thickBot="1">
      <c r="A29" s="60" t="s">
        <v>27</v>
      </c>
      <c r="B29" s="67">
        <v>1.7999999999999999E-2</v>
      </c>
      <c r="C29" s="62"/>
    </row>
    <row r="30" spans="1:11" s="56" customFormat="1" ht="13">
      <c r="A30" s="60" t="s">
        <v>39</v>
      </c>
      <c r="B30" s="159">
        <f>'Cost of capital worksheet'!E50</f>
        <v>7.5000799611880789E-2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8912.1419381830419</v>
      </c>
    </row>
    <row r="32" spans="1:11" s="56" customFormat="1" ht="13">
      <c r="A32" s="63" t="s">
        <v>241</v>
      </c>
      <c r="B32" s="159" t="s">
        <v>53</v>
      </c>
      <c r="C32"/>
      <c r="D32" s="62"/>
      <c r="E32" s="247" t="s">
        <v>603</v>
      </c>
      <c r="F32" s="63"/>
      <c r="G32" s="63"/>
      <c r="H32" s="63"/>
      <c r="I32" s="63"/>
      <c r="J32" s="258">
        <f>'Valuation output'!M5</f>
        <v>2138.91406516393</v>
      </c>
    </row>
    <row r="33" spans="1:14" s="56" customFormat="1" ht="13">
      <c r="A33" s="63" t="s">
        <v>89</v>
      </c>
      <c r="B33" s="68">
        <v>17.07</v>
      </c>
      <c r="C33" s="257"/>
      <c r="D33" s="62"/>
      <c r="E33" s="247" t="s">
        <v>602</v>
      </c>
      <c r="F33" s="63"/>
      <c r="G33" s="63"/>
      <c r="H33" s="63"/>
      <c r="I33" s="63"/>
      <c r="J33" s="259">
        <f>'Valuation output'!L40</f>
        <v>0.70639268206246797</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0.2</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0.2</v>
      </c>
      <c r="D2" s="90">
        <f>C2</f>
        <v>0.2</v>
      </c>
      <c r="E2" s="90">
        <f>D2</f>
        <v>0.2</v>
      </c>
      <c r="F2" s="90">
        <f>E2</f>
        <v>0.2</v>
      </c>
      <c r="G2" s="90">
        <f>F2</f>
        <v>0.2</v>
      </c>
      <c r="H2" s="90">
        <f>G2-((G2-$M$2)/5)</f>
        <v>0.16360000000000002</v>
      </c>
      <c r="I2" s="90">
        <f>G2-((G2-$M$2)/5)*2</f>
        <v>0.12720000000000001</v>
      </c>
      <c r="J2" s="90">
        <f>G2-((G2-$M$2)/5)*3</f>
        <v>9.0800000000000006E-2</v>
      </c>
      <c r="K2" s="90">
        <f>G2-((G2-$M$2)/5)*4</f>
        <v>5.4400000000000004E-2</v>
      </c>
      <c r="L2" s="90">
        <f>G2-((G2-$M$2)/5)*5</f>
        <v>1.8000000000000016E-2</v>
      </c>
      <c r="M2" s="91">
        <f>IF('Input sheet'!B56="Yes",'Input sheet'!B57,'Input sheet'!B29)</f>
        <v>1.7999999999999999E-2</v>
      </c>
    </row>
    <row r="3" spans="1:14" ht="15" customHeight="1">
      <c r="A3" s="45" t="s">
        <v>11</v>
      </c>
      <c r="B3" s="92">
        <f>'Input sheet'!B8</f>
        <v>2291</v>
      </c>
      <c r="C3" s="93">
        <f>B3*(1+C2)</f>
        <v>2749.2</v>
      </c>
      <c r="D3" s="93">
        <f t="shared" ref="D3:L3" si="0">C3*(1+D2)</f>
        <v>3299.0399999999995</v>
      </c>
      <c r="E3" s="93">
        <f t="shared" si="0"/>
        <v>3958.847999999999</v>
      </c>
      <c r="F3" s="93">
        <f t="shared" si="0"/>
        <v>4750.6175999999987</v>
      </c>
      <c r="G3" s="93">
        <f t="shared" si="0"/>
        <v>5700.7411199999979</v>
      </c>
      <c r="H3" s="93">
        <f t="shared" si="0"/>
        <v>6633.3823672319977</v>
      </c>
      <c r="I3" s="93">
        <f t="shared" si="0"/>
        <v>7477.1486043439081</v>
      </c>
      <c r="J3" s="93">
        <f t="shared" si="0"/>
        <v>8156.0736976183352</v>
      </c>
      <c r="K3" s="93">
        <f t="shared" si="0"/>
        <v>8599.7641067687728</v>
      </c>
      <c r="L3" s="93">
        <f t="shared" si="0"/>
        <v>8754.5598606906115</v>
      </c>
      <c r="M3" s="109">
        <f>L3*(1+M2)</f>
        <v>8912.1419381830419</v>
      </c>
    </row>
    <row r="4" spans="1:14" ht="15" customHeight="1">
      <c r="A4" s="45" t="s">
        <v>26</v>
      </c>
      <c r="B4" s="94">
        <f>B5/B3</f>
        <v>0.24075076385857708</v>
      </c>
      <c r="C4" s="90">
        <f>IF(C1&gt;'Input sheet'!$B$26,'Input sheet'!$B$25,'Input sheet'!$B$25-(('Input sheet'!$B$25-$B$4)/'Input sheet'!$B$26)*('Input sheet'!$B$26-C1))</f>
        <v>0.24060061108686165</v>
      </c>
      <c r="D4" s="90">
        <f>IF(D1&gt;'Input sheet'!$B$26,'Input sheet'!$B$25,'Input sheet'!$B$25-(('Input sheet'!$B$25-$B$4)/'Input sheet'!$B$26)*('Input sheet'!$B$26-D1))</f>
        <v>0.24045045831514625</v>
      </c>
      <c r="E4" s="90">
        <f>IF(E1&gt;'Input sheet'!$B$26,'Input sheet'!$B$25,'Input sheet'!$B$25-(('Input sheet'!$B$25-$B$4)/'Input sheet'!$B$26)*('Input sheet'!$B$26-E1))</f>
        <v>0.24030030554343082</v>
      </c>
      <c r="F4" s="90">
        <f>IF(F1&gt;'Input sheet'!$B$26,'Input sheet'!$B$25,'Input sheet'!$B$25-(('Input sheet'!$B$25-$B$4)/'Input sheet'!$B$26)*('Input sheet'!$B$26-F1))</f>
        <v>0.24015015277171542</v>
      </c>
      <c r="G4" s="90">
        <f>IF(G1&gt;'Input sheet'!$B$26,'Input sheet'!$B$25,'Input sheet'!$B$25-(('Input sheet'!$B$25-$B$4)/'Input sheet'!$B$26)*('Input sheet'!$B$26-G1))</f>
        <v>0.24</v>
      </c>
      <c r="H4" s="90">
        <f>IF(H1&gt;'Input sheet'!$B$26,'Input sheet'!$B$25,'Input sheet'!$B$25-(('Input sheet'!$B$25-$B$4)/'Input sheet'!$B$26)*('Input sheet'!$B$26-H1))</f>
        <v>0.24</v>
      </c>
      <c r="I4" s="90">
        <f>IF(I1&gt;'Input sheet'!$B$26,'Input sheet'!$B$25,'Input sheet'!$B$25-(('Input sheet'!$B$25-$B$4)/'Input sheet'!$B$26)*('Input sheet'!$B$26-I1))</f>
        <v>0.24</v>
      </c>
      <c r="J4" s="90">
        <f>IF(J1&gt;'Input sheet'!$B$26,'Input sheet'!$B$25,'Input sheet'!$B$25-(('Input sheet'!$B$25-$B$4)/'Input sheet'!$B$26)*('Input sheet'!$B$26-J1))</f>
        <v>0.24</v>
      </c>
      <c r="K4" s="90">
        <f>IF(K1&gt;'Input sheet'!$B$26,'Input sheet'!$B$25,'Input sheet'!$B$25-(('Input sheet'!$B$25-$B$4)/'Input sheet'!$B$26)*('Input sheet'!$B$26-K1))</f>
        <v>0.24</v>
      </c>
      <c r="L4" s="90">
        <f>IF(L1&gt;'Input sheet'!$B$26,'Input sheet'!$B$25,'Input sheet'!$B$25-(('Input sheet'!$B$25-$B$4)/'Input sheet'!$B$26)*('Input sheet'!$B$26-L1))</f>
        <v>0.24</v>
      </c>
      <c r="M4" s="91">
        <f>L4</f>
        <v>0.24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551.56000000000006</v>
      </c>
      <c r="C5" s="93">
        <f t="shared" ref="C5:M5" si="1">C4*C3</f>
        <v>661.45920000000001</v>
      </c>
      <c r="D5" s="93">
        <f t="shared" si="1"/>
        <v>793.25567999999998</v>
      </c>
      <c r="E5" s="93">
        <f t="shared" si="1"/>
        <v>951.31238399999984</v>
      </c>
      <c r="F5" s="93">
        <f t="shared" si="1"/>
        <v>1140.8615423999997</v>
      </c>
      <c r="G5" s="93">
        <f t="shared" si="1"/>
        <v>1368.1778687999995</v>
      </c>
      <c r="H5" s="93">
        <f t="shared" si="1"/>
        <v>1592.0117681356794</v>
      </c>
      <c r="I5" s="93">
        <f t="shared" si="1"/>
        <v>1794.5156650425379</v>
      </c>
      <c r="J5" s="93">
        <f t="shared" si="1"/>
        <v>1957.4576874284003</v>
      </c>
      <c r="K5" s="93">
        <f t="shared" si="1"/>
        <v>2063.9433856245055</v>
      </c>
      <c r="L5" s="93">
        <f t="shared" si="1"/>
        <v>2101.0943665657469</v>
      </c>
      <c r="M5" s="109">
        <f t="shared" si="1"/>
        <v>2138.91406516393</v>
      </c>
      <c r="N5" s="111">
        <f>M5-B5</f>
        <v>1587.35406516393</v>
      </c>
    </row>
    <row r="6" spans="1:14" ht="15" customHeight="1">
      <c r="A6" s="45" t="s">
        <v>137</v>
      </c>
      <c r="B6" s="95">
        <f>'Input sheet'!B21</f>
        <v>0.193</v>
      </c>
      <c r="C6" s="96">
        <f>B6</f>
        <v>0.193</v>
      </c>
      <c r="D6" s="96">
        <f>C6</f>
        <v>0.193</v>
      </c>
      <c r="E6" s="96">
        <f>D6</f>
        <v>0.193</v>
      </c>
      <c r="F6" s="96">
        <f>E6</f>
        <v>0.193</v>
      </c>
      <c r="G6" s="96">
        <f>F6</f>
        <v>0.193</v>
      </c>
      <c r="H6" s="96">
        <f>G6+($M$6-$G$6)/5</f>
        <v>0.2084</v>
      </c>
      <c r="I6" s="96">
        <f>H6+($M$6-$G$6)/5</f>
        <v>0.2238</v>
      </c>
      <c r="J6" s="96">
        <f>I6+($M$6-$G$6)/5</f>
        <v>0.2392</v>
      </c>
      <c r="K6" s="96">
        <f>J6+($M$6-$G$6)/5</f>
        <v>0.25459999999999999</v>
      </c>
      <c r="L6" s="96">
        <f>K6+($M$6-$G$6)/5</f>
        <v>0.27</v>
      </c>
      <c r="M6" s="96">
        <f>IF('Input sheet'!B51="Yes",'Input sheet'!B21,'Input sheet'!B22)</f>
        <v>0.27</v>
      </c>
    </row>
    <row r="7" spans="1:14" ht="15" customHeight="1">
      <c r="A7" s="45" t="s">
        <v>12</v>
      </c>
      <c r="B7" s="92">
        <f>IF(B5&gt;0,B5*(1-B6),B5)</f>
        <v>445.10892000000001</v>
      </c>
      <c r="C7" s="93">
        <f>IF(C5&gt;0,IF(C5&lt;B10,C5,C5-(C5-B10)*C6),C5)</f>
        <v>533.79757440000003</v>
      </c>
      <c r="D7" s="93">
        <f t="shared" ref="D7:L7" si="2">IF(D5&gt;0,IF(D5&lt;C10,D5,D5-(D5-C10)*D6),D5)</f>
        <v>640.15733376000003</v>
      </c>
      <c r="E7" s="93">
        <f t="shared" si="2"/>
        <v>767.70909388799987</v>
      </c>
      <c r="F7" s="93">
        <f t="shared" si="2"/>
        <v>920.6752647167998</v>
      </c>
      <c r="G7" s="93">
        <f t="shared" si="2"/>
        <v>1104.1195401215996</v>
      </c>
      <c r="H7" s="93">
        <f t="shared" si="2"/>
        <v>1260.2365156562039</v>
      </c>
      <c r="I7" s="93">
        <f t="shared" si="2"/>
        <v>1392.903059206018</v>
      </c>
      <c r="J7" s="93">
        <f t="shared" si="2"/>
        <v>1489.2338085955271</v>
      </c>
      <c r="K7" s="93">
        <f t="shared" si="2"/>
        <v>1538.4633996445064</v>
      </c>
      <c r="L7" s="93">
        <f t="shared" si="2"/>
        <v>1533.7988875929952</v>
      </c>
      <c r="M7" s="93">
        <f>M5*(1-M6)</f>
        <v>1561.4072675696689</v>
      </c>
    </row>
    <row r="8" spans="1:14" ht="15" customHeight="1">
      <c r="A8" s="45" t="s">
        <v>15</v>
      </c>
      <c r="B8" s="92"/>
      <c r="C8" s="93">
        <f t="shared" ref="C8:L8" si="3">(C3-B3)/C38</f>
        <v>91.639999999999958</v>
      </c>
      <c r="D8" s="93">
        <f t="shared" si="3"/>
        <v>109.96799999999993</v>
      </c>
      <c r="E8" s="93">
        <f t="shared" si="3"/>
        <v>131.96159999999992</v>
      </c>
      <c r="F8" s="93">
        <f t="shared" si="3"/>
        <v>158.35391999999993</v>
      </c>
      <c r="G8" s="93">
        <f t="shared" si="3"/>
        <v>190.02470399999984</v>
      </c>
      <c r="H8" s="93">
        <f t="shared" si="3"/>
        <v>186.52824944639997</v>
      </c>
      <c r="I8" s="93">
        <f t="shared" si="3"/>
        <v>168.75324742238209</v>
      </c>
      <c r="J8" s="93">
        <f t="shared" si="3"/>
        <v>135.78501865488542</v>
      </c>
      <c r="K8" s="93">
        <f t="shared" si="3"/>
        <v>88.738081830087509</v>
      </c>
      <c r="L8" s="93">
        <f t="shared" si="3"/>
        <v>30.95915078436774</v>
      </c>
      <c r="M8" s="97">
        <f>IF(M2&gt;0,(M2/M40)*M7,0)</f>
        <v>140.52665408127018</v>
      </c>
      <c r="N8" s="111">
        <f>SUM(C8:M8)</f>
        <v>1433.2386262193925</v>
      </c>
    </row>
    <row r="9" spans="1:14" ht="15" customHeight="1">
      <c r="A9" s="45" t="s">
        <v>16</v>
      </c>
      <c r="B9" s="92"/>
      <c r="C9" s="93">
        <f t="shared" ref="C9:L9" si="4">C7-C8</f>
        <v>442.15757440000004</v>
      </c>
      <c r="D9" s="93">
        <f t="shared" si="4"/>
        <v>530.18933376000007</v>
      </c>
      <c r="E9" s="93">
        <f t="shared" si="4"/>
        <v>635.74749388800001</v>
      </c>
      <c r="F9" s="93">
        <f t="shared" si="4"/>
        <v>762.3213447167999</v>
      </c>
      <c r="G9" s="93">
        <f t="shared" si="4"/>
        <v>914.09483612159977</v>
      </c>
      <c r="H9" s="93">
        <f t="shared" si="4"/>
        <v>1073.7082662098039</v>
      </c>
      <c r="I9" s="93">
        <f t="shared" si="4"/>
        <v>1224.1498117836359</v>
      </c>
      <c r="J9" s="93">
        <f t="shared" si="4"/>
        <v>1353.4487899406417</v>
      </c>
      <c r="K9" s="93">
        <f t="shared" si="4"/>
        <v>1449.7253178144188</v>
      </c>
      <c r="L9" s="93">
        <f t="shared" si="4"/>
        <v>1502.8397368086275</v>
      </c>
      <c r="M9" s="97">
        <f>M7-M8</f>
        <v>1420.8806134883987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7.5000799611880789E-2</v>
      </c>
      <c r="D12" s="90">
        <f>C12</f>
        <v>7.5000799611880789E-2</v>
      </c>
      <c r="E12" s="90">
        <f>D12</f>
        <v>7.5000799611880789E-2</v>
      </c>
      <c r="F12" s="90">
        <f>E12</f>
        <v>7.5000799611880789E-2</v>
      </c>
      <c r="G12" s="90">
        <f>F12</f>
        <v>7.5000799611880789E-2</v>
      </c>
      <c r="H12" s="90">
        <f>G12-($G$12-$M$12)/5</f>
        <v>7.2600639689504629E-2</v>
      </c>
      <c r="I12" s="90">
        <f>H12-($G$12-$M$12)/5</f>
        <v>7.0200479767128468E-2</v>
      </c>
      <c r="J12" s="90">
        <f>I12-($G$12-$M$12)/5</f>
        <v>6.7800319844752308E-2</v>
      </c>
      <c r="K12" s="90">
        <f>J12-($G$12-$M$12)/5</f>
        <v>6.5400159922376147E-2</v>
      </c>
      <c r="L12" s="90">
        <f>K12-($G$12-$M$12)/5</f>
        <v>6.2999999999999987E-2</v>
      </c>
      <c r="M12" s="91">
        <f>IF('Input sheet'!B40="Yes",'Input sheet'!B41,'Input sheet'!B29+0.045)</f>
        <v>6.3E-2</v>
      </c>
    </row>
    <row r="13" spans="1:14" ht="15" customHeight="1">
      <c r="A13" s="46" t="s">
        <v>142</v>
      </c>
      <c r="B13" s="89"/>
      <c r="C13" s="153">
        <f>1/(1+C12)</f>
        <v>0.93023186620981191</v>
      </c>
      <c r="D13" s="153">
        <f>C13*(1/(1+D12))</f>
        <v>0.86533132491218945</v>
      </c>
      <c r="E13" s="153">
        <f t="shared" ref="E13:L13" si="6">D13*(1/(1+E12))</f>
        <v>0.80495877326287513</v>
      </c>
      <c r="F13" s="153">
        <f t="shared" si="6"/>
        <v>0.7487983018742852</v>
      </c>
      <c r="G13" s="153">
        <f t="shared" si="6"/>
        <v>0.69655604176725439</v>
      </c>
      <c r="H13" s="153">
        <f t="shared" si="6"/>
        <v>0.64940856456033125</v>
      </c>
      <c r="I13" s="153">
        <f t="shared" si="6"/>
        <v>0.60681019756376864</v>
      </c>
      <c r="J13" s="153">
        <f t="shared" si="6"/>
        <v>0.56828059168589951</v>
      </c>
      <c r="K13" s="153">
        <f t="shared" si="6"/>
        <v>0.53339638293963065</v>
      </c>
      <c r="L13" s="153">
        <f t="shared" si="6"/>
        <v>0.50178399147660457</v>
      </c>
      <c r="M13" s="98"/>
    </row>
    <row r="14" spans="1:14" ht="15" customHeight="1">
      <c r="A14" s="46" t="s">
        <v>21</v>
      </c>
      <c r="B14" s="89"/>
      <c r="C14" s="93">
        <f t="shared" ref="C14:L14" si="7">C9*C13</f>
        <v>411.30906559291577</v>
      </c>
      <c r="D14" s="93">
        <f t="shared" si="7"/>
        <v>458.78943863685186</v>
      </c>
      <c r="E14" s="93">
        <f t="shared" si="7"/>
        <v>511.75052278503171</v>
      </c>
      <c r="F14" s="93">
        <f t="shared" si="7"/>
        <v>570.82492840646137</v>
      </c>
      <c r="G14" s="93">
        <f t="shared" si="7"/>
        <v>636.71828084874858</v>
      </c>
      <c r="H14" s="93">
        <f t="shared" si="7"/>
        <v>697.27534391587074</v>
      </c>
      <c r="I14" s="93">
        <f t="shared" si="7"/>
        <v>742.82658913607827</v>
      </c>
      <c r="J14" s="93">
        <f t="shared" si="7"/>
        <v>769.13867916403262</v>
      </c>
      <c r="K14" s="93">
        <f t="shared" si="7"/>
        <v>773.27824077821742</v>
      </c>
      <c r="L14" s="93">
        <f t="shared" si="7"/>
        <v>754.10092168548306</v>
      </c>
      <c r="M14" s="98"/>
    </row>
    <row r="15" spans="1:14" ht="15" customHeight="1">
      <c r="A15" s="46"/>
      <c r="B15" s="45"/>
      <c r="C15" s="51"/>
      <c r="D15" s="51"/>
      <c r="E15" s="51"/>
      <c r="F15" s="51"/>
      <c r="G15" s="51"/>
      <c r="H15" s="51"/>
      <c r="I15" s="51"/>
      <c r="J15" s="51"/>
      <c r="K15" s="51"/>
      <c r="L15" s="51"/>
    </row>
    <row r="16" spans="1:14" ht="15" customHeight="1">
      <c r="A16" s="48" t="s">
        <v>22</v>
      </c>
      <c r="B16" s="92">
        <f>M9</f>
        <v>1420.8806134883987</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31575.12474418664</v>
      </c>
      <c r="C18" s="51"/>
      <c r="D18" s="154"/>
      <c r="E18" s="51"/>
      <c r="F18" s="51"/>
      <c r="G18" s="51"/>
      <c r="H18" s="51"/>
      <c r="I18" s="51"/>
      <c r="J18" s="51"/>
      <c r="K18" s="51"/>
      <c r="L18" s="51"/>
    </row>
    <row r="19" spans="1:12">
      <c r="A19" s="48" t="s">
        <v>24</v>
      </c>
      <c r="B19" s="99">
        <f>B18*L13</f>
        <v>15843.892125509676</v>
      </c>
      <c r="C19" s="51"/>
      <c r="D19" s="51"/>
      <c r="E19" s="51"/>
      <c r="F19" s="51"/>
      <c r="G19" s="51"/>
      <c r="H19" s="51"/>
      <c r="I19" s="51"/>
      <c r="J19" s="51"/>
      <c r="K19" s="51"/>
      <c r="L19" s="51"/>
    </row>
    <row r="20" spans="1:12">
      <c r="A20" s="48" t="s">
        <v>46</v>
      </c>
      <c r="B20" s="99">
        <f>SUM(C14:L14)</f>
        <v>6326.012010949692</v>
      </c>
      <c r="C20" s="51"/>
      <c r="D20" s="51"/>
      <c r="E20" s="51"/>
      <c r="F20" s="51"/>
      <c r="G20" s="51"/>
      <c r="H20" s="51"/>
      <c r="I20" s="51"/>
      <c r="J20" s="51"/>
      <c r="K20" s="51"/>
      <c r="L20" s="51"/>
    </row>
    <row r="21" spans="1:12">
      <c r="A21" s="48" t="s">
        <v>47</v>
      </c>
      <c r="B21" s="99">
        <f>B19+B20</f>
        <v>22169.904136459369</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11084.952068229684</v>
      </c>
      <c r="C23" s="51"/>
      <c r="D23" s="51"/>
      <c r="E23" s="51"/>
      <c r="F23" s="51"/>
      <c r="G23" s="51"/>
      <c r="H23" s="51"/>
      <c r="I23" s="51"/>
      <c r="J23" s="51"/>
      <c r="K23" s="51"/>
      <c r="L23" s="51"/>
    </row>
    <row r="24" spans="1:12">
      <c r="A24" s="48" t="s">
        <v>44</v>
      </c>
      <c r="B24" s="92">
        <f>B21*(1-B22)+B23*B22</f>
        <v>22169.904136459369</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782.4</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22952.30413645937</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22952.30413645937</v>
      </c>
      <c r="C31" s="51"/>
      <c r="D31" s="51"/>
      <c r="E31" s="51"/>
      <c r="F31" s="51"/>
      <c r="G31" s="51"/>
      <c r="H31" s="51"/>
      <c r="I31" s="51"/>
      <c r="J31" s="51"/>
      <c r="K31" s="51"/>
      <c r="L31" s="51"/>
    </row>
    <row r="32" spans="1:12">
      <c r="A32" s="48" t="s">
        <v>13</v>
      </c>
      <c r="B32" s="103">
        <f>'Input sheet'!B19</f>
        <v>78.81</v>
      </c>
      <c r="C32" s="51"/>
      <c r="D32" s="51"/>
      <c r="E32" s="51"/>
      <c r="F32" s="51"/>
      <c r="G32" s="51"/>
      <c r="H32" s="51"/>
      <c r="I32" s="51"/>
      <c r="J32" s="51"/>
      <c r="K32" s="51"/>
      <c r="L32" s="51"/>
    </row>
    <row r="33" spans="1:13">
      <c r="A33" s="48" t="s">
        <v>93</v>
      </c>
      <c r="B33" s="104">
        <f>B31/B32</f>
        <v>291.23593625757354</v>
      </c>
      <c r="C33" s="51"/>
      <c r="D33" s="51"/>
      <c r="E33" s="51"/>
      <c r="F33" s="51"/>
      <c r="G33" s="51"/>
      <c r="H33" s="51"/>
      <c r="I33" s="51"/>
      <c r="J33" s="51"/>
      <c r="K33" s="51"/>
      <c r="L33" s="51"/>
    </row>
    <row r="34" spans="1:13">
      <c r="A34" s="48" t="s">
        <v>100</v>
      </c>
      <c r="B34" s="105">
        <f>'Input sheet'!B20</f>
        <v>285.02999999999997</v>
      </c>
      <c r="C34" s="51"/>
      <c r="D34" s="51"/>
      <c r="E34" s="51"/>
      <c r="F34" s="51"/>
      <c r="G34" s="51"/>
      <c r="H34" s="51"/>
      <c r="I34" s="51"/>
      <c r="J34" s="51"/>
      <c r="K34" s="51"/>
      <c r="L34" s="51"/>
    </row>
    <row r="35" spans="1:13">
      <c r="A35" s="48" t="s">
        <v>52</v>
      </c>
      <c r="B35" s="95">
        <f>B34/B33</f>
        <v>0.97869103539446123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v>
      </c>
      <c r="D38" s="106">
        <f>C38</f>
        <v>5</v>
      </c>
      <c r="E38" s="106">
        <f t="shared" ref="E38:L38" si="8">D38</f>
        <v>5</v>
      </c>
      <c r="F38" s="106">
        <f t="shared" si="8"/>
        <v>5</v>
      </c>
      <c r="G38" s="106">
        <f t="shared" si="8"/>
        <v>5</v>
      </c>
      <c r="H38" s="106">
        <f t="shared" si="8"/>
        <v>5</v>
      </c>
      <c r="I38" s="106">
        <f t="shared" si="8"/>
        <v>5</v>
      </c>
      <c r="J38" s="106">
        <f t="shared" si="8"/>
        <v>5</v>
      </c>
      <c r="K38" s="106">
        <f t="shared" si="8"/>
        <v>5</v>
      </c>
      <c r="L38" s="106">
        <f t="shared" si="8"/>
        <v>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878.6</v>
      </c>
      <c r="C39" s="108">
        <f t="shared" ref="C39:L39" si="9">B39+C8</f>
        <v>970.24</v>
      </c>
      <c r="D39" s="108">
        <f t="shared" si="9"/>
        <v>1080.2079999999999</v>
      </c>
      <c r="E39" s="108">
        <f t="shared" si="9"/>
        <v>1212.1695999999997</v>
      </c>
      <c r="F39" s="108">
        <f t="shared" si="9"/>
        <v>1370.5235199999997</v>
      </c>
      <c r="G39" s="108">
        <f t="shared" si="9"/>
        <v>1560.5482239999997</v>
      </c>
      <c r="H39" s="108">
        <f t="shared" si="9"/>
        <v>1747.0764734463996</v>
      </c>
      <c r="I39" s="108">
        <f t="shared" si="9"/>
        <v>1915.8297208687818</v>
      </c>
      <c r="J39" s="108">
        <f t="shared" si="9"/>
        <v>2051.6147395236671</v>
      </c>
      <c r="K39" s="108">
        <f t="shared" si="9"/>
        <v>2140.3528213537547</v>
      </c>
      <c r="L39" s="108">
        <f t="shared" si="9"/>
        <v>2171.3119721381227</v>
      </c>
      <c r="M39" s="98"/>
    </row>
    <row r="40" spans="1:13">
      <c r="A40" s="44" t="s">
        <v>19</v>
      </c>
      <c r="B40" s="94">
        <f t="shared" ref="B40:L40" si="10">B7/B39</f>
        <v>0.50661156385158201</v>
      </c>
      <c r="C40" s="90">
        <f t="shared" si="10"/>
        <v>0.55017065303430079</v>
      </c>
      <c r="D40" s="90">
        <f t="shared" si="10"/>
        <v>0.59262413698102601</v>
      </c>
      <c r="E40" s="90">
        <f t="shared" si="10"/>
        <v>0.63333471973558819</v>
      </c>
      <c r="F40" s="90">
        <f t="shared" si="10"/>
        <v>0.67176903663557708</v>
      </c>
      <c r="G40" s="90">
        <f t="shared" si="10"/>
        <v>0.70752029520210447</v>
      </c>
      <c r="H40" s="90">
        <f t="shared" si="10"/>
        <v>0.72134021309907359</v>
      </c>
      <c r="I40" s="90">
        <f t="shared" si="10"/>
        <v>0.72704950968939486</v>
      </c>
      <c r="J40" s="90">
        <f t="shared" si="10"/>
        <v>0.72588375385784631</v>
      </c>
      <c r="K40" s="90">
        <f t="shared" si="10"/>
        <v>0.71878962397958368</v>
      </c>
      <c r="L40" s="110">
        <f t="shared" si="10"/>
        <v>0.70639268206246797</v>
      </c>
      <c r="M40" s="90">
        <f>IF('Input sheet'!B43="Yes",'Input sheet'!B44,'Valuation output'!L12)</f>
        <v>0.2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Align Technology</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2291</v>
      </c>
      <c r="C9" s="275">
        <f>'Input sheet'!B24</f>
        <v>0.2</v>
      </c>
      <c r="D9" s="275">
        <f>F9</f>
        <v>1.7999999999999999E-2</v>
      </c>
      <c r="E9" s="276"/>
      <c r="F9" s="275">
        <f>'Valuation output'!M2</f>
        <v>1.7999999999999999E-2</v>
      </c>
      <c r="G9" s="299" t="s">
        <v>744</v>
      </c>
      <c r="H9" s="391" t="s">
        <v>643</v>
      </c>
      <c r="I9" s="392"/>
      <c r="J9" s="392"/>
      <c r="K9" s="393"/>
    </row>
    <row r="10" spans="1:11">
      <c r="A10" s="273" t="s">
        <v>630</v>
      </c>
      <c r="B10" s="275">
        <f>'Valuation output'!B4</f>
        <v>0.24075076385857708</v>
      </c>
      <c r="C10" s="277">
        <f>B10</f>
        <v>0.24075076385857708</v>
      </c>
      <c r="D10" s="278">
        <f>F10</f>
        <v>0.24</v>
      </c>
      <c r="E10" s="278"/>
      <c r="F10" s="275">
        <f>'Valuation output'!M4</f>
        <v>0.24</v>
      </c>
      <c r="G10" s="304" t="s">
        <v>745</v>
      </c>
      <c r="H10" s="394"/>
      <c r="I10" s="395"/>
      <c r="J10" s="395"/>
      <c r="K10" s="396"/>
    </row>
    <row r="11" spans="1:11">
      <c r="A11" s="273" t="s">
        <v>137</v>
      </c>
      <c r="B11" s="275">
        <f>'Valuation output'!B6</f>
        <v>0.193</v>
      </c>
      <c r="C11" s="277">
        <f>B11</f>
        <v>0.193</v>
      </c>
      <c r="D11" s="278">
        <f>F11</f>
        <v>0.27</v>
      </c>
      <c r="E11" s="278"/>
      <c r="F11" s="275">
        <f>'Valuation output'!M6</f>
        <v>0.27</v>
      </c>
      <c r="G11" s="304" t="s">
        <v>746</v>
      </c>
      <c r="H11" s="394"/>
      <c r="I11" s="395"/>
      <c r="J11" s="395"/>
      <c r="K11" s="396"/>
    </row>
    <row r="12" spans="1:11">
      <c r="A12" s="273" t="s">
        <v>631</v>
      </c>
      <c r="B12" s="276"/>
      <c r="C12" s="279" t="s">
        <v>635</v>
      </c>
      <c r="D12" s="280">
        <f>'Input sheet'!B27</f>
        <v>5</v>
      </c>
      <c r="E12" s="281" t="s">
        <v>647</v>
      </c>
      <c r="F12" s="282">
        <f>'Valuation output'!M2/'Valuation output'!M40</f>
        <v>8.9999999999999983E-2</v>
      </c>
      <c r="G12" s="304" t="s">
        <v>747</v>
      </c>
      <c r="H12" s="394"/>
      <c r="I12" s="395"/>
      <c r="J12" s="395"/>
      <c r="K12" s="396"/>
    </row>
    <row r="13" spans="1:11">
      <c r="A13" s="306" t="s">
        <v>645</v>
      </c>
      <c r="B13" s="310">
        <f>'Valuation output'!B40</f>
        <v>0.50661156385158201</v>
      </c>
      <c r="C13" s="313" t="s">
        <v>646</v>
      </c>
      <c r="D13" s="314">
        <f>Diagnostics!B6</f>
        <v>1.198669463858097</v>
      </c>
      <c r="E13" s="307"/>
      <c r="F13" s="308">
        <f>'Valuation output'!M40</f>
        <v>0.2</v>
      </c>
      <c r="G13" s="309" t="s">
        <v>748</v>
      </c>
      <c r="H13" s="394"/>
      <c r="I13" s="395"/>
      <c r="J13" s="395"/>
      <c r="K13" s="396"/>
    </row>
    <row r="14" spans="1:11" ht="17" thickBot="1">
      <c r="A14" s="283" t="s">
        <v>632</v>
      </c>
      <c r="B14" s="311"/>
      <c r="C14" s="277">
        <f>'Valuation output'!C12</f>
        <v>7.5000799611880789E-2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2749.2</v>
      </c>
      <c r="C17" s="287">
        <f>'Valuation output'!C4</f>
        <v>0.24060061108686165</v>
      </c>
      <c r="D17" s="274">
        <f>B17*C17</f>
        <v>661.45920000000001</v>
      </c>
      <c r="E17" s="286">
        <f>'Valuation output'!C7</f>
        <v>533.79757440000003</v>
      </c>
      <c r="F17" s="286">
        <f>'Valuation output'!C8</f>
        <v>91.639999999999958</v>
      </c>
      <c r="G17" s="317">
        <f>E17-F17</f>
        <v>442.15757440000004</v>
      </c>
      <c r="H17" s="403"/>
      <c r="I17" s="404"/>
      <c r="J17" s="404"/>
      <c r="K17" s="405"/>
    </row>
    <row r="18" spans="1:11">
      <c r="A18" s="285">
        <v>2</v>
      </c>
      <c r="B18" s="286">
        <f>'Valuation output'!D3</f>
        <v>3299.0399999999995</v>
      </c>
      <c r="C18" s="287">
        <f>'Valuation output'!D4</f>
        <v>0.24045045831514625</v>
      </c>
      <c r="D18" s="274">
        <f t="shared" ref="D18:D27" si="0">B18*C18</f>
        <v>793.25567999999998</v>
      </c>
      <c r="E18" s="286">
        <f>'Valuation output'!D7</f>
        <v>640.15733376000003</v>
      </c>
      <c r="F18" s="286">
        <f>'Valuation output'!D8</f>
        <v>109.96799999999993</v>
      </c>
      <c r="G18" s="317">
        <f t="shared" ref="G18:G27" si="1">E18-F18</f>
        <v>530.18933376000007</v>
      </c>
      <c r="H18" s="403"/>
      <c r="I18" s="404"/>
      <c r="J18" s="404"/>
      <c r="K18" s="405"/>
    </row>
    <row r="19" spans="1:11">
      <c r="A19" s="285">
        <v>3</v>
      </c>
      <c r="B19" s="286">
        <f>'Valuation output'!E3</f>
        <v>3958.847999999999</v>
      </c>
      <c r="C19" s="287">
        <f>'Valuation output'!E4</f>
        <v>0.24030030554343082</v>
      </c>
      <c r="D19" s="274">
        <f t="shared" si="0"/>
        <v>951.31238399999984</v>
      </c>
      <c r="E19" s="286">
        <f>'Valuation output'!E7</f>
        <v>767.70909388799987</v>
      </c>
      <c r="F19" s="286">
        <f>'Valuation output'!E8</f>
        <v>131.96159999999992</v>
      </c>
      <c r="G19" s="317">
        <f t="shared" si="1"/>
        <v>635.74749388800001</v>
      </c>
      <c r="H19" s="403"/>
      <c r="I19" s="404"/>
      <c r="J19" s="404"/>
      <c r="K19" s="405"/>
    </row>
    <row r="20" spans="1:11">
      <c r="A20" s="285">
        <v>4</v>
      </c>
      <c r="B20" s="286">
        <f>'Valuation output'!F3</f>
        <v>4750.6175999999987</v>
      </c>
      <c r="C20" s="287">
        <f>'Valuation output'!F4</f>
        <v>0.24015015277171542</v>
      </c>
      <c r="D20" s="274">
        <f t="shared" si="0"/>
        <v>1140.8615423999997</v>
      </c>
      <c r="E20" s="286">
        <f>'Valuation output'!F7</f>
        <v>920.6752647167998</v>
      </c>
      <c r="F20" s="286">
        <f>'Valuation output'!F8</f>
        <v>158.35391999999993</v>
      </c>
      <c r="G20" s="317">
        <f t="shared" si="1"/>
        <v>762.3213447167999</v>
      </c>
      <c r="H20" s="403"/>
      <c r="I20" s="404"/>
      <c r="J20" s="404"/>
      <c r="K20" s="405"/>
    </row>
    <row r="21" spans="1:11">
      <c r="A21" s="285">
        <v>5</v>
      </c>
      <c r="B21" s="286">
        <f>'Valuation output'!G3</f>
        <v>5700.7411199999979</v>
      </c>
      <c r="C21" s="287">
        <f>'Valuation output'!G4</f>
        <v>0.24</v>
      </c>
      <c r="D21" s="274">
        <f t="shared" si="0"/>
        <v>1368.1778687999995</v>
      </c>
      <c r="E21" s="286">
        <f>'Valuation output'!G7</f>
        <v>1104.1195401215996</v>
      </c>
      <c r="F21" s="286">
        <f>'Valuation output'!G8</f>
        <v>190.02470399999984</v>
      </c>
      <c r="G21" s="317">
        <f t="shared" si="1"/>
        <v>914.09483612159977</v>
      </c>
      <c r="H21" s="403"/>
      <c r="I21" s="404"/>
      <c r="J21" s="404"/>
      <c r="K21" s="405"/>
    </row>
    <row r="22" spans="1:11">
      <c r="A22" s="285">
        <v>6</v>
      </c>
      <c r="B22" s="286">
        <f>'Valuation output'!H3</f>
        <v>6633.3823672319977</v>
      </c>
      <c r="C22" s="287">
        <f>'Valuation output'!H4</f>
        <v>0.24</v>
      </c>
      <c r="D22" s="274">
        <f t="shared" si="0"/>
        <v>1592.0117681356794</v>
      </c>
      <c r="E22" s="286">
        <f>'Valuation output'!H7</f>
        <v>1260.2365156562039</v>
      </c>
      <c r="F22" s="286">
        <f>'Valuation output'!H8</f>
        <v>186.52824944639997</v>
      </c>
      <c r="G22" s="317">
        <f t="shared" si="1"/>
        <v>1073.7082662098039</v>
      </c>
      <c r="H22" s="403"/>
      <c r="I22" s="404"/>
      <c r="J22" s="404"/>
      <c r="K22" s="405"/>
    </row>
    <row r="23" spans="1:11">
      <c r="A23" s="285">
        <v>7</v>
      </c>
      <c r="B23" s="286">
        <f>'Valuation output'!I3</f>
        <v>7477.1486043439081</v>
      </c>
      <c r="C23" s="287">
        <f>'Valuation output'!I4</f>
        <v>0.24</v>
      </c>
      <c r="D23" s="274">
        <f t="shared" si="0"/>
        <v>1794.5156650425379</v>
      </c>
      <c r="E23" s="286">
        <f>'Valuation output'!I7</f>
        <v>1392.903059206018</v>
      </c>
      <c r="F23" s="286">
        <f>'Valuation output'!I8</f>
        <v>168.75324742238209</v>
      </c>
      <c r="G23" s="317">
        <f t="shared" si="1"/>
        <v>1224.1498117836359</v>
      </c>
      <c r="H23" s="403"/>
      <c r="I23" s="404"/>
      <c r="J23" s="404"/>
      <c r="K23" s="405"/>
    </row>
    <row r="24" spans="1:11">
      <c r="A24" s="285">
        <v>8</v>
      </c>
      <c r="B24" s="286">
        <f>'Valuation output'!J3</f>
        <v>8156.0736976183352</v>
      </c>
      <c r="C24" s="287">
        <f>'Valuation output'!J4</f>
        <v>0.24</v>
      </c>
      <c r="D24" s="274">
        <f t="shared" si="0"/>
        <v>1957.4576874284003</v>
      </c>
      <c r="E24" s="286">
        <f>'Valuation output'!J7</f>
        <v>1489.2338085955271</v>
      </c>
      <c r="F24" s="286">
        <f>'Valuation output'!J8</f>
        <v>135.78501865488542</v>
      </c>
      <c r="G24" s="317">
        <f t="shared" si="1"/>
        <v>1353.4487899406417</v>
      </c>
      <c r="H24" s="403"/>
      <c r="I24" s="404"/>
      <c r="J24" s="404"/>
      <c r="K24" s="405"/>
    </row>
    <row r="25" spans="1:11">
      <c r="A25" s="285">
        <v>9</v>
      </c>
      <c r="B25" s="286">
        <f>'Valuation output'!K3</f>
        <v>8599.7641067687728</v>
      </c>
      <c r="C25" s="287">
        <f>'Valuation output'!K4</f>
        <v>0.24</v>
      </c>
      <c r="D25" s="274">
        <f t="shared" si="0"/>
        <v>2063.9433856245055</v>
      </c>
      <c r="E25" s="286">
        <f>'Valuation output'!K7</f>
        <v>1538.4633996445064</v>
      </c>
      <c r="F25" s="286">
        <f>'Valuation output'!K8</f>
        <v>88.738081830087509</v>
      </c>
      <c r="G25" s="317">
        <f t="shared" si="1"/>
        <v>1449.7253178144188</v>
      </c>
      <c r="H25" s="403"/>
      <c r="I25" s="404"/>
      <c r="J25" s="404"/>
      <c r="K25" s="405"/>
    </row>
    <row r="26" spans="1:11">
      <c r="A26" s="285">
        <v>10</v>
      </c>
      <c r="B26" s="286">
        <f>'Valuation output'!L3</f>
        <v>8754.5598606906115</v>
      </c>
      <c r="C26" s="287">
        <f>'Valuation output'!L4</f>
        <v>0.24</v>
      </c>
      <c r="D26" s="274">
        <f t="shared" si="0"/>
        <v>2101.0943665657469</v>
      </c>
      <c r="E26" s="286">
        <f>'Valuation output'!L7</f>
        <v>1533.7988875929952</v>
      </c>
      <c r="F26" s="286">
        <f>'Valuation output'!L8</f>
        <v>30.95915078436774</v>
      </c>
      <c r="G26" s="317">
        <f t="shared" si="1"/>
        <v>1502.8397368086275</v>
      </c>
      <c r="H26" s="403"/>
      <c r="I26" s="404"/>
      <c r="J26" s="404"/>
      <c r="K26" s="405"/>
    </row>
    <row r="27" spans="1:11" ht="17" thickBot="1">
      <c r="A27" s="288" t="s">
        <v>45</v>
      </c>
      <c r="B27" s="289">
        <f>'Valuation output'!M3</f>
        <v>8912.1419381830419</v>
      </c>
      <c r="C27" s="290">
        <f>'Valuation output'!M4</f>
        <v>0.24</v>
      </c>
      <c r="D27" s="274">
        <f t="shared" si="0"/>
        <v>2138.91406516393</v>
      </c>
      <c r="E27" s="289">
        <f>'Valuation output'!M7</f>
        <v>1561.4072675696689</v>
      </c>
      <c r="F27" s="289">
        <f>'Valuation output'!M8</f>
        <v>140.52665408127018</v>
      </c>
      <c r="G27" s="317">
        <f t="shared" si="1"/>
        <v>1420.8806134883987</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31575.12474418664</v>
      </c>
      <c r="E29" s="292"/>
      <c r="F29" s="293"/>
      <c r="G29" s="294"/>
      <c r="H29" s="409" t="s">
        <v>648</v>
      </c>
      <c r="I29" s="410"/>
      <c r="J29" s="410"/>
      <c r="K29" s="410"/>
    </row>
    <row r="30" spans="1:11">
      <c r="A30" s="367" t="s">
        <v>627</v>
      </c>
      <c r="B30" s="368"/>
      <c r="C30" s="369"/>
      <c r="D30" s="295">
        <f>'Valuation output'!B19</f>
        <v>15843.892125509676</v>
      </c>
      <c r="E30" s="296"/>
      <c r="F30" s="297"/>
      <c r="G30" s="298"/>
      <c r="H30" s="409"/>
      <c r="I30" s="410"/>
      <c r="J30" s="410"/>
      <c r="K30" s="410"/>
    </row>
    <row r="31" spans="1:11">
      <c r="A31" s="367" t="s">
        <v>46</v>
      </c>
      <c r="B31" s="368"/>
      <c r="C31" s="369"/>
      <c r="D31" s="295">
        <f>'Valuation output'!B20</f>
        <v>6326.012010949692</v>
      </c>
      <c r="E31" s="296"/>
      <c r="F31" s="297"/>
      <c r="G31" s="298"/>
      <c r="H31" s="409"/>
      <c r="I31" s="410"/>
      <c r="J31" s="410"/>
      <c r="K31" s="410"/>
    </row>
    <row r="32" spans="1:11">
      <c r="A32" s="367" t="s">
        <v>44</v>
      </c>
      <c r="B32" s="368"/>
      <c r="C32" s="369"/>
      <c r="D32" s="295">
        <f>'Valuation output'!B21</f>
        <v>22169.904136459369</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0</v>
      </c>
      <c r="E34" s="296"/>
      <c r="F34" s="297"/>
      <c r="G34" s="298"/>
      <c r="H34" s="409"/>
      <c r="I34" s="410"/>
      <c r="J34" s="410"/>
      <c r="K34" s="410"/>
    </row>
    <row r="35" spans="1:11">
      <c r="A35" s="367" t="s">
        <v>639</v>
      </c>
      <c r="B35" s="368"/>
      <c r="C35" s="369"/>
      <c r="D35" s="295">
        <f>'Valuation output'!B27+'Valuation output'!B28</f>
        <v>782.4</v>
      </c>
      <c r="E35" s="296"/>
      <c r="F35" s="297"/>
      <c r="G35" s="298"/>
      <c r="H35" s="409"/>
      <c r="I35" s="410"/>
      <c r="J35" s="410"/>
      <c r="K35" s="410"/>
    </row>
    <row r="36" spans="1:11">
      <c r="A36" s="367" t="s">
        <v>54</v>
      </c>
      <c r="B36" s="368"/>
      <c r="C36" s="369"/>
      <c r="D36" s="295">
        <f>D32-D33-D34+D35</f>
        <v>22952.30413645937</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78.81</v>
      </c>
      <c r="E38" s="297"/>
      <c r="F38" s="300"/>
      <c r="G38" s="298"/>
      <c r="H38" s="409"/>
      <c r="I38" s="410"/>
      <c r="J38" s="410"/>
      <c r="K38" s="410"/>
    </row>
    <row r="39" spans="1:11" ht="17" thickBot="1">
      <c r="A39" s="415" t="s">
        <v>611</v>
      </c>
      <c r="B39" s="416"/>
      <c r="C39" s="416"/>
      <c r="D39" s="271">
        <f>(D36-D37)/D38</f>
        <v>291.23593625757354</v>
      </c>
      <c r="E39" s="417" t="s">
        <v>641</v>
      </c>
      <c r="F39" s="418"/>
      <c r="G39" s="315">
        <f>'Input sheet'!B20</f>
        <v>285.02999999999997</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878.6</v>
      </c>
    </row>
    <row r="3" spans="1:4" s="144" customFormat="1" ht="13">
      <c r="A3" s="147" t="s">
        <v>8</v>
      </c>
      <c r="B3" s="148">
        <f>'Valuation output'!L39</f>
        <v>2171.3119721381227</v>
      </c>
    </row>
    <row r="4" spans="1:4" s="144" customFormat="1" ht="13">
      <c r="A4" s="147" t="s">
        <v>9</v>
      </c>
      <c r="B4" s="148">
        <f>B3-B2</f>
        <v>1292.7119721381227</v>
      </c>
    </row>
    <row r="5" spans="1:4" s="144" customFormat="1" ht="13">
      <c r="A5" s="147" t="s">
        <v>10</v>
      </c>
      <c r="B5" s="148">
        <f>'Valuation output'!L5-'Valuation output'!B5</f>
        <v>1549.534366565747</v>
      </c>
    </row>
    <row r="6" spans="1:4" s="144" customFormat="1" ht="13">
      <c r="A6" s="147" t="s">
        <v>4</v>
      </c>
      <c r="B6" s="149">
        <f>B5/B4</f>
        <v>1.198669463858097</v>
      </c>
    </row>
    <row r="7" spans="1:4" s="144" customFormat="1" ht="13">
      <c r="A7" s="147" t="s">
        <v>5</v>
      </c>
      <c r="B7" s="149">
        <f>'Valuation output'!L40</f>
        <v>0.70639268206246797</v>
      </c>
    </row>
    <row r="8" spans="1:4" s="144" customFormat="1" ht="13">
      <c r="A8" s="147" t="s">
        <v>233</v>
      </c>
      <c r="B8" s="149">
        <f>(1/'Valuation output'!L13)^(1/10)-1</f>
        <v>7.1391804154590455E-2</v>
      </c>
    </row>
    <row r="9" spans="1:4" s="144" customFormat="1" ht="14" thickBot="1">
      <c r="A9" s="150" t="s">
        <v>28</v>
      </c>
      <c r="B9" s="151">
        <f>'Valuation output'!B33/'Valuation output'!B34</f>
        <v>1.0217729230522175</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2291</v>
      </c>
      <c r="D2" s="331">
        <f>'Valuation output'!B4</f>
        <v>0.24075076385857708</v>
      </c>
      <c r="E2" s="330">
        <f>B2*D2</f>
        <v>551.56000000000006</v>
      </c>
      <c r="F2" s="330">
        <f>'Valuation output'!B10</f>
        <v>0</v>
      </c>
      <c r="G2" s="330">
        <f>E2-H2</f>
        <v>106.45108000000005</v>
      </c>
      <c r="H2" s="330">
        <f>'Valuation output'!B7</f>
        <v>445.10892000000001</v>
      </c>
    </row>
    <row r="3" spans="1:8" s="329" customFormat="1">
      <c r="A3" s="329">
        <v>1</v>
      </c>
      <c r="B3" s="330">
        <f>'Valuation output'!C3</f>
        <v>2749.2</v>
      </c>
      <c r="C3" s="331">
        <f>'Valuation output'!C2</f>
        <v>0.2</v>
      </c>
      <c r="D3" s="331">
        <f>'Valuation output'!C4</f>
        <v>0.24060061108686165</v>
      </c>
      <c r="E3" s="330">
        <f>B3*D3</f>
        <v>661.45920000000001</v>
      </c>
      <c r="F3" s="330">
        <f>'Valuation output'!C10</f>
        <v>0</v>
      </c>
      <c r="G3" s="330">
        <f t="shared" ref="G3:G12" si="0">E3-H3</f>
        <v>127.66162559999998</v>
      </c>
      <c r="H3" s="330">
        <f>'Valuation output'!C7</f>
        <v>533.79757440000003</v>
      </c>
    </row>
    <row r="4" spans="1:8" s="329" customFormat="1">
      <c r="A4" s="329">
        <v>2</v>
      </c>
      <c r="B4" s="333">
        <f>'Valuation output'!D3</f>
        <v>3299.0399999999995</v>
      </c>
      <c r="C4" s="331">
        <f>B4/B3-1</f>
        <v>0.19999999999999996</v>
      </c>
      <c r="D4" s="331">
        <f>'Valuation output'!D4</f>
        <v>0.24045045831514625</v>
      </c>
      <c r="E4" s="330">
        <f t="shared" ref="E4:E12" si="1">B4*D4</f>
        <v>793.25567999999998</v>
      </c>
      <c r="F4" s="330">
        <f>'Valuation output'!D10</f>
        <v>0</v>
      </c>
      <c r="G4" s="330">
        <f t="shared" si="0"/>
        <v>153.09834623999996</v>
      </c>
      <c r="H4" s="330">
        <f>'Valuation output'!D7</f>
        <v>640.15733376000003</v>
      </c>
    </row>
    <row r="5" spans="1:8" s="329" customFormat="1">
      <c r="A5" s="329">
        <v>3</v>
      </c>
      <c r="B5" s="330">
        <f>'Valuation output'!E3</f>
        <v>3958.847999999999</v>
      </c>
      <c r="C5" s="331">
        <f t="shared" ref="C5:C12" si="2">B5/B4-1</f>
        <v>0.19999999999999996</v>
      </c>
      <c r="D5" s="331">
        <f>'Valuation output'!E4</f>
        <v>0.24030030554343082</v>
      </c>
      <c r="E5" s="330">
        <f t="shared" si="1"/>
        <v>951.31238399999984</v>
      </c>
      <c r="F5" s="330">
        <f>'Valuation output'!E10</f>
        <v>0</v>
      </c>
      <c r="G5" s="330">
        <f t="shared" si="0"/>
        <v>183.60329011199997</v>
      </c>
      <c r="H5" s="330">
        <f>'Valuation output'!E7</f>
        <v>767.70909388799987</v>
      </c>
    </row>
    <row r="6" spans="1:8" s="329" customFormat="1">
      <c r="A6" s="329">
        <v>4</v>
      </c>
      <c r="B6" s="330">
        <f>'Valuation output'!F3</f>
        <v>4750.6175999999987</v>
      </c>
      <c r="C6" s="331">
        <f t="shared" si="2"/>
        <v>0.19999999999999996</v>
      </c>
      <c r="D6" s="331">
        <f>'Valuation output'!F4</f>
        <v>0.24015015277171542</v>
      </c>
      <c r="E6" s="330">
        <f t="shared" si="1"/>
        <v>1140.8615423999997</v>
      </c>
      <c r="F6" s="330">
        <f>'Valuation output'!F10</f>
        <v>0</v>
      </c>
      <c r="G6" s="330">
        <f t="shared" si="0"/>
        <v>220.18627768319993</v>
      </c>
      <c r="H6" s="330">
        <f>'Valuation output'!F7</f>
        <v>920.6752647167998</v>
      </c>
    </row>
    <row r="7" spans="1:8" s="329" customFormat="1">
      <c r="A7" s="329">
        <v>5</v>
      </c>
      <c r="B7" s="330">
        <f>'Valuation output'!G3</f>
        <v>5700.7411199999979</v>
      </c>
      <c r="C7" s="331">
        <f t="shared" si="2"/>
        <v>0.19999999999999996</v>
      </c>
      <c r="D7" s="331">
        <f>'Valuation output'!G4</f>
        <v>0.24</v>
      </c>
      <c r="E7" s="330">
        <f t="shared" si="1"/>
        <v>1368.1778687999995</v>
      </c>
      <c r="F7" s="330">
        <f>'Valuation output'!G10</f>
        <v>0</v>
      </c>
      <c r="G7" s="330">
        <f t="shared" si="0"/>
        <v>264.0583286783999</v>
      </c>
      <c r="H7" s="330">
        <f>'Valuation output'!G7</f>
        <v>1104.1195401215996</v>
      </c>
    </row>
    <row r="8" spans="1:8" s="329" customFormat="1">
      <c r="A8" s="329">
        <v>6</v>
      </c>
      <c r="B8" s="330">
        <f>'Valuation output'!H3</f>
        <v>6633.3823672319977</v>
      </c>
      <c r="C8" s="331">
        <f t="shared" si="2"/>
        <v>0.16359999999999997</v>
      </c>
      <c r="D8" s="331">
        <f>'Valuation output'!H4</f>
        <v>0.24</v>
      </c>
      <c r="E8" s="330">
        <f t="shared" si="1"/>
        <v>1592.0117681356794</v>
      </c>
      <c r="F8" s="330">
        <f>'Valuation output'!H10</f>
        <v>0</v>
      </c>
      <c r="G8" s="330">
        <f t="shared" si="0"/>
        <v>331.77525247947551</v>
      </c>
      <c r="H8" s="330">
        <f>'Valuation output'!H7</f>
        <v>1260.2365156562039</v>
      </c>
    </row>
    <row r="9" spans="1:8" s="329" customFormat="1">
      <c r="A9" s="329">
        <v>7</v>
      </c>
      <c r="B9" s="330">
        <f>'Valuation output'!I3</f>
        <v>7477.1486043439081</v>
      </c>
      <c r="C9" s="331">
        <f t="shared" si="2"/>
        <v>0.12719999999999998</v>
      </c>
      <c r="D9" s="331">
        <f>'Valuation output'!I4</f>
        <v>0.24</v>
      </c>
      <c r="E9" s="330">
        <f t="shared" si="1"/>
        <v>1794.5156650425379</v>
      </c>
      <c r="F9" s="330">
        <f>'Valuation output'!I10</f>
        <v>0</v>
      </c>
      <c r="G9" s="330">
        <f t="shared" si="0"/>
        <v>401.61260583651983</v>
      </c>
      <c r="H9" s="330">
        <f>'Valuation output'!I7</f>
        <v>1392.903059206018</v>
      </c>
    </row>
    <row r="10" spans="1:8" s="329" customFormat="1">
      <c r="A10" s="329">
        <v>8</v>
      </c>
      <c r="B10" s="330">
        <f>'Valuation output'!J3</f>
        <v>8156.0736976183352</v>
      </c>
      <c r="C10" s="331">
        <f t="shared" si="2"/>
        <v>9.0799999999999992E-2</v>
      </c>
      <c r="D10" s="331">
        <f>'Valuation output'!J4</f>
        <v>0.24</v>
      </c>
      <c r="E10" s="330">
        <f t="shared" si="1"/>
        <v>1957.4576874284003</v>
      </c>
      <c r="F10" s="330">
        <f>'Valuation output'!J10</f>
        <v>0</v>
      </c>
      <c r="G10" s="330">
        <f t="shared" si="0"/>
        <v>468.2238788328732</v>
      </c>
      <c r="H10" s="330">
        <f>'Valuation output'!J7</f>
        <v>1489.2338085955271</v>
      </c>
    </row>
    <row r="11" spans="1:8" s="329" customFormat="1">
      <c r="A11" s="329">
        <v>9</v>
      </c>
      <c r="B11" s="330">
        <f>'Valuation output'!K3</f>
        <v>8599.7641067687728</v>
      </c>
      <c r="C11" s="331">
        <f t="shared" si="2"/>
        <v>5.4400000000000004E-2</v>
      </c>
      <c r="D11" s="331">
        <f>'Valuation output'!K4</f>
        <v>0.24</v>
      </c>
      <c r="E11" s="330">
        <f t="shared" si="1"/>
        <v>2063.9433856245055</v>
      </c>
      <c r="F11" s="330">
        <f>'Valuation output'!K10</f>
        <v>0</v>
      </c>
      <c r="G11" s="330">
        <f t="shared" si="0"/>
        <v>525.47998597999913</v>
      </c>
      <c r="H11" s="330">
        <f>'Valuation output'!K7</f>
        <v>1538.4633996445064</v>
      </c>
    </row>
    <row r="12" spans="1:8" s="329" customFormat="1">
      <c r="A12" s="329">
        <v>10</v>
      </c>
      <c r="B12" s="330">
        <f>'Valuation output'!L3</f>
        <v>8754.5598606906115</v>
      </c>
      <c r="C12" s="331">
        <f t="shared" si="2"/>
        <v>1.8000000000000016E-2</v>
      </c>
      <c r="D12" s="331">
        <f>'Valuation output'!L4</f>
        <v>0.24</v>
      </c>
      <c r="E12" s="330">
        <f t="shared" si="1"/>
        <v>2101.0943665657469</v>
      </c>
      <c r="F12" s="330">
        <f>'Valuation output'!L10</f>
        <v>0</v>
      </c>
      <c r="G12" s="330">
        <f t="shared" si="0"/>
        <v>567.29547897275165</v>
      </c>
      <c r="H12" s="330">
        <f>'Valuation output'!L7</f>
        <v>1533.7988875929952</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445.10892000000001</v>
      </c>
      <c r="G15" s="335">
        <f>'Valuation output'!B39</f>
        <v>878.6</v>
      </c>
      <c r="H15" s="336">
        <f>B15/G15</f>
        <v>0.50661156385158201</v>
      </c>
    </row>
    <row r="16" spans="1:8" s="329" customFormat="1">
      <c r="A16" s="329">
        <f t="shared" ref="A16:A24" si="3">A3</f>
        <v>1</v>
      </c>
      <c r="B16" s="330">
        <f t="shared" ref="B16:B25" si="4">H3</f>
        <v>533.79757440000003</v>
      </c>
      <c r="C16" s="330">
        <f>B3-B2</f>
        <v>458.19999999999982</v>
      </c>
      <c r="D16" s="334">
        <f>'Valuation output'!C38</f>
        <v>5</v>
      </c>
      <c r="E16" s="330">
        <f>C16/D16</f>
        <v>91.639999999999958</v>
      </c>
      <c r="F16" s="330">
        <f>B16-E16</f>
        <v>442.15757440000004</v>
      </c>
      <c r="G16" s="330">
        <f>G15+E16</f>
        <v>970.24</v>
      </c>
      <c r="H16" s="336">
        <f t="shared" ref="H16:H25" si="5">B16/G16</f>
        <v>0.55017065303430079</v>
      </c>
    </row>
    <row r="17" spans="1:8" s="329" customFormat="1">
      <c r="A17" s="329">
        <f t="shared" si="3"/>
        <v>2</v>
      </c>
      <c r="B17" s="330">
        <f t="shared" si="4"/>
        <v>640.15733376000003</v>
      </c>
      <c r="C17" s="330">
        <f t="shared" ref="C17:C25" si="6">B4-B3</f>
        <v>549.83999999999969</v>
      </c>
      <c r="D17" s="334">
        <f>'Valuation output'!D38</f>
        <v>5</v>
      </c>
      <c r="E17" s="330">
        <f t="shared" ref="E17:E25" si="7">C17/D17</f>
        <v>109.96799999999993</v>
      </c>
      <c r="F17" s="330">
        <f t="shared" ref="F17:F25" si="8">B17-E17</f>
        <v>530.18933376000007</v>
      </c>
      <c r="G17" s="330">
        <f t="shared" ref="G17:G25" si="9">G16+E17</f>
        <v>1080.2079999999999</v>
      </c>
      <c r="H17" s="336">
        <f t="shared" si="5"/>
        <v>0.59262413698102601</v>
      </c>
    </row>
    <row r="18" spans="1:8" s="329" customFormat="1">
      <c r="A18" s="329">
        <f t="shared" si="3"/>
        <v>3</v>
      </c>
      <c r="B18" s="330">
        <f t="shared" si="4"/>
        <v>767.70909388799987</v>
      </c>
      <c r="C18" s="330">
        <f t="shared" si="6"/>
        <v>659.80799999999954</v>
      </c>
      <c r="D18" s="334">
        <f>'Valuation output'!E38</f>
        <v>5</v>
      </c>
      <c r="E18" s="330">
        <f t="shared" si="7"/>
        <v>131.96159999999992</v>
      </c>
      <c r="F18" s="330">
        <f t="shared" si="8"/>
        <v>635.74749388800001</v>
      </c>
      <c r="G18" s="330">
        <f t="shared" si="9"/>
        <v>1212.1695999999997</v>
      </c>
      <c r="H18" s="336">
        <f t="shared" si="5"/>
        <v>0.63333471973558819</v>
      </c>
    </row>
    <row r="19" spans="1:8" s="329" customFormat="1">
      <c r="A19" s="329">
        <f t="shared" si="3"/>
        <v>4</v>
      </c>
      <c r="B19" s="330">
        <f t="shared" si="4"/>
        <v>920.6752647167998</v>
      </c>
      <c r="C19" s="330">
        <f t="shared" si="6"/>
        <v>791.76959999999963</v>
      </c>
      <c r="D19" s="334">
        <f>'Valuation output'!F38</f>
        <v>5</v>
      </c>
      <c r="E19" s="330">
        <f t="shared" si="7"/>
        <v>158.35391999999993</v>
      </c>
      <c r="F19" s="330">
        <f t="shared" si="8"/>
        <v>762.3213447167999</v>
      </c>
      <c r="G19" s="330">
        <f t="shared" si="9"/>
        <v>1370.5235199999997</v>
      </c>
      <c r="H19" s="336">
        <f t="shared" si="5"/>
        <v>0.67176903663557708</v>
      </c>
    </row>
    <row r="20" spans="1:8" s="329" customFormat="1">
      <c r="A20" s="329">
        <f t="shared" si="3"/>
        <v>5</v>
      </c>
      <c r="B20" s="330">
        <f t="shared" si="4"/>
        <v>1104.1195401215996</v>
      </c>
      <c r="C20" s="330">
        <f t="shared" si="6"/>
        <v>950.12351999999919</v>
      </c>
      <c r="D20" s="334">
        <f>'Valuation output'!G38</f>
        <v>5</v>
      </c>
      <c r="E20" s="330">
        <f t="shared" si="7"/>
        <v>190.02470399999984</v>
      </c>
      <c r="F20" s="330">
        <f t="shared" si="8"/>
        <v>914.09483612159977</v>
      </c>
      <c r="G20" s="330">
        <f t="shared" si="9"/>
        <v>1560.5482239999997</v>
      </c>
      <c r="H20" s="336">
        <f t="shared" si="5"/>
        <v>0.70752029520210447</v>
      </c>
    </row>
    <row r="21" spans="1:8" s="329" customFormat="1">
      <c r="A21" s="329">
        <f t="shared" si="3"/>
        <v>6</v>
      </c>
      <c r="B21" s="330">
        <f t="shared" si="4"/>
        <v>1260.2365156562039</v>
      </c>
      <c r="C21" s="330">
        <f t="shared" si="6"/>
        <v>932.64124723199984</v>
      </c>
      <c r="D21" s="334">
        <f>'Valuation output'!H38</f>
        <v>5</v>
      </c>
      <c r="E21" s="330">
        <f t="shared" si="7"/>
        <v>186.52824944639997</v>
      </c>
      <c r="F21" s="330">
        <f t="shared" si="8"/>
        <v>1073.7082662098039</v>
      </c>
      <c r="G21" s="330">
        <f t="shared" si="9"/>
        <v>1747.0764734463996</v>
      </c>
      <c r="H21" s="336">
        <f t="shared" si="5"/>
        <v>0.72134021309907359</v>
      </c>
    </row>
    <row r="22" spans="1:8" s="329" customFormat="1">
      <c r="A22" s="329">
        <f t="shared" si="3"/>
        <v>7</v>
      </c>
      <c r="B22" s="330">
        <f t="shared" si="4"/>
        <v>1392.903059206018</v>
      </c>
      <c r="C22" s="330">
        <f t="shared" si="6"/>
        <v>843.76623711191041</v>
      </c>
      <c r="D22" s="334">
        <f>'Valuation output'!I38</f>
        <v>5</v>
      </c>
      <c r="E22" s="330">
        <f t="shared" si="7"/>
        <v>168.75324742238209</v>
      </c>
      <c r="F22" s="330">
        <f t="shared" si="8"/>
        <v>1224.1498117836359</v>
      </c>
      <c r="G22" s="330">
        <f t="shared" si="9"/>
        <v>1915.8297208687818</v>
      </c>
      <c r="H22" s="336">
        <f t="shared" si="5"/>
        <v>0.72704950968939486</v>
      </c>
    </row>
    <row r="23" spans="1:8" s="329" customFormat="1">
      <c r="A23" s="329">
        <f t="shared" si="3"/>
        <v>8</v>
      </c>
      <c r="B23" s="330">
        <f t="shared" si="4"/>
        <v>1489.2338085955271</v>
      </c>
      <c r="C23" s="330">
        <f t="shared" si="6"/>
        <v>678.92509327442713</v>
      </c>
      <c r="D23" s="334">
        <f>'Valuation output'!J38</f>
        <v>5</v>
      </c>
      <c r="E23" s="330">
        <f t="shared" si="7"/>
        <v>135.78501865488542</v>
      </c>
      <c r="F23" s="330">
        <f t="shared" si="8"/>
        <v>1353.4487899406417</v>
      </c>
      <c r="G23" s="330">
        <f t="shared" si="9"/>
        <v>2051.6147395236671</v>
      </c>
      <c r="H23" s="336">
        <f t="shared" si="5"/>
        <v>0.72588375385784631</v>
      </c>
    </row>
    <row r="24" spans="1:8" s="329" customFormat="1">
      <c r="A24" s="329">
        <f t="shared" si="3"/>
        <v>9</v>
      </c>
      <c r="B24" s="330">
        <f t="shared" si="4"/>
        <v>1538.4633996445064</v>
      </c>
      <c r="C24" s="330">
        <f t="shared" si="6"/>
        <v>443.69040915043752</v>
      </c>
      <c r="D24" s="334">
        <f>'Valuation output'!K38</f>
        <v>5</v>
      </c>
      <c r="E24" s="330">
        <f t="shared" si="7"/>
        <v>88.738081830087509</v>
      </c>
      <c r="F24" s="330">
        <f t="shared" si="8"/>
        <v>1449.7253178144188</v>
      </c>
      <c r="G24" s="330">
        <f t="shared" si="9"/>
        <v>2140.3528213537547</v>
      </c>
      <c r="H24" s="336">
        <f t="shared" si="5"/>
        <v>0.71878962397958368</v>
      </c>
    </row>
    <row r="25" spans="1:8" s="329" customFormat="1">
      <c r="A25" s="329">
        <f>A12</f>
        <v>10</v>
      </c>
      <c r="B25" s="330">
        <f t="shared" si="4"/>
        <v>1533.7988875929952</v>
      </c>
      <c r="C25" s="330">
        <f t="shared" si="6"/>
        <v>154.7957539218387</v>
      </c>
      <c r="D25" s="334">
        <f>'Valuation output'!L38</f>
        <v>5</v>
      </c>
      <c r="E25" s="330">
        <f t="shared" si="7"/>
        <v>30.95915078436774</v>
      </c>
      <c r="F25" s="330">
        <f t="shared" si="8"/>
        <v>1502.8397368086275</v>
      </c>
      <c r="G25" s="330">
        <f t="shared" si="9"/>
        <v>2171.3119721381227</v>
      </c>
      <c r="H25" s="336">
        <f t="shared" si="5"/>
        <v>0.70639268206246797</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7.5000799611880789E-2</v>
      </c>
    </row>
    <row r="29" spans="1:8">
      <c r="A29">
        <f t="shared" ref="A29:A37" si="10">A17</f>
        <v>2</v>
      </c>
      <c r="H29" s="324">
        <f>'Valuation output'!D12</f>
        <v>7.5000799611880789E-2</v>
      </c>
    </row>
    <row r="30" spans="1:8">
      <c r="A30">
        <f t="shared" si="10"/>
        <v>3</v>
      </c>
      <c r="H30" s="324">
        <f>'Valuation output'!E12</f>
        <v>7.5000799611880789E-2</v>
      </c>
    </row>
    <row r="31" spans="1:8">
      <c r="A31">
        <f t="shared" si="10"/>
        <v>4</v>
      </c>
      <c r="H31" s="324">
        <f>'Valuation output'!F12</f>
        <v>7.5000799611880789E-2</v>
      </c>
    </row>
    <row r="32" spans="1:8">
      <c r="A32">
        <f t="shared" si="10"/>
        <v>5</v>
      </c>
      <c r="H32" s="324">
        <f>'Valuation output'!G12</f>
        <v>7.5000799611880789E-2</v>
      </c>
    </row>
    <row r="33" spans="1:8">
      <c r="A33">
        <f t="shared" si="10"/>
        <v>6</v>
      </c>
      <c r="H33" s="324">
        <f>'Valuation output'!H12</f>
        <v>7.2600639689504629E-2</v>
      </c>
    </row>
    <row r="34" spans="1:8">
      <c r="A34">
        <f t="shared" si="10"/>
        <v>7</v>
      </c>
      <c r="H34" s="324">
        <f>'Valuation output'!I12</f>
        <v>7.0200479767128468E-2</v>
      </c>
    </row>
    <row r="35" spans="1:8">
      <c r="A35">
        <f t="shared" si="10"/>
        <v>8</v>
      </c>
      <c r="H35" s="324">
        <f>'Valuation output'!J12</f>
        <v>6.7800319844752308E-2</v>
      </c>
    </row>
    <row r="36" spans="1:8">
      <c r="A36">
        <f t="shared" si="10"/>
        <v>9</v>
      </c>
      <c r="H36" s="324">
        <f>'Valuation output'!K12</f>
        <v>6.5400159922376147E-2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7.5000799611880789E-2</v>
      </c>
      <c r="C40" s="338">
        <f>(1+'Summary Sheet'!B40)</f>
        <v>1.0750007996118809</v>
      </c>
      <c r="D40" s="332">
        <f>F16</f>
        <v>442.15757440000004</v>
      </c>
      <c r="F40" s="332">
        <f>D40/C40</f>
        <v>411.30906559291577</v>
      </c>
    </row>
    <row r="41" spans="1:8">
      <c r="A41">
        <f t="shared" ref="A41:A49" si="11">A29</f>
        <v>2</v>
      </c>
      <c r="B41" s="337">
        <f t="shared" ref="B41:B49" si="12">H29</f>
        <v>7.5000799611880789E-2</v>
      </c>
      <c r="C41" s="338">
        <f>C40*(1+B41)</f>
        <v>1.1556267191661833</v>
      </c>
      <c r="D41" s="332">
        <f t="shared" ref="D41:D49" si="13">F17</f>
        <v>530.18933376000007</v>
      </c>
      <c r="F41" s="332">
        <f t="shared" ref="F41:F48" si="14">D41/C41</f>
        <v>458.78943863685186</v>
      </c>
    </row>
    <row r="42" spans="1:8">
      <c r="A42">
        <f t="shared" si="11"/>
        <v>3</v>
      </c>
      <c r="B42" s="337">
        <f t="shared" si="12"/>
        <v>7.5000799611880789E-2</v>
      </c>
      <c r="C42" s="338">
        <f t="shared" ref="C42:C49" si="15">C41*(1+B42)</f>
        <v>1.2422996471565015</v>
      </c>
      <c r="D42" s="332">
        <f t="shared" si="13"/>
        <v>635.74749388800001</v>
      </c>
      <c r="F42" s="332">
        <f t="shared" si="14"/>
        <v>511.75052278503165</v>
      </c>
    </row>
    <row r="43" spans="1:8">
      <c r="A43">
        <f t="shared" si="11"/>
        <v>4</v>
      </c>
      <c r="B43" s="337">
        <f t="shared" si="12"/>
        <v>7.5000799611880789E-2</v>
      </c>
      <c r="C43" s="338">
        <f t="shared" si="15"/>
        <v>1.3354731140507967</v>
      </c>
      <c r="D43" s="332">
        <f t="shared" si="13"/>
        <v>762.3213447167999</v>
      </c>
      <c r="F43" s="332">
        <f t="shared" si="14"/>
        <v>570.82492840646125</v>
      </c>
    </row>
    <row r="44" spans="1:8">
      <c r="A44">
        <f t="shared" si="11"/>
        <v>5</v>
      </c>
      <c r="B44" s="337">
        <f t="shared" si="12"/>
        <v>7.5000799611880789E-2</v>
      </c>
      <c r="C44" s="338">
        <f t="shared" si="15"/>
        <v>1.4356346654647751</v>
      </c>
      <c r="D44" s="332">
        <f t="shared" si="13"/>
        <v>914.09483612159977</v>
      </c>
      <c r="F44" s="332">
        <f t="shared" si="14"/>
        <v>636.71828084874846</v>
      </c>
    </row>
    <row r="45" spans="1:8">
      <c r="A45">
        <f t="shared" si="11"/>
        <v>6</v>
      </c>
      <c r="B45" s="337">
        <f t="shared" si="12"/>
        <v>7.2600639689504629E-2</v>
      </c>
      <c r="C45" s="338">
        <f t="shared" si="15"/>
        <v>1.539862660537946</v>
      </c>
      <c r="D45" s="332">
        <f t="shared" si="13"/>
        <v>1073.7082662098039</v>
      </c>
      <c r="F45" s="332">
        <f t="shared" si="14"/>
        <v>697.27534391587074</v>
      </c>
    </row>
    <row r="46" spans="1:8">
      <c r="A46">
        <f t="shared" si="11"/>
        <v>7</v>
      </c>
      <c r="B46" s="337">
        <f t="shared" si="12"/>
        <v>7.0200479767128468E-2</v>
      </c>
      <c r="C46" s="338">
        <f t="shared" si="15"/>
        <v>1.6479617580831967</v>
      </c>
      <c r="D46" s="332">
        <f t="shared" si="13"/>
        <v>1224.1498117836359</v>
      </c>
      <c r="F46" s="332">
        <f t="shared" si="14"/>
        <v>742.82658913607827</v>
      </c>
    </row>
    <row r="47" spans="1:8">
      <c r="A47">
        <f t="shared" si="11"/>
        <v>8</v>
      </c>
      <c r="B47" s="337">
        <f t="shared" si="12"/>
        <v>6.7800319844752308E-2</v>
      </c>
      <c r="C47" s="338">
        <f t="shared" si="15"/>
        <v>1.7596940923731577</v>
      </c>
      <c r="D47" s="332">
        <f t="shared" si="13"/>
        <v>1353.4487899406417</v>
      </c>
      <c r="F47" s="332">
        <f t="shared" si="14"/>
        <v>769.13867916403262</v>
      </c>
    </row>
    <row r="48" spans="1:8">
      <c r="A48">
        <f t="shared" si="11"/>
        <v>9</v>
      </c>
      <c r="B48" s="337">
        <f t="shared" si="12"/>
        <v>6.5400159922376147E-2</v>
      </c>
      <c r="C48" s="338">
        <f t="shared" si="15"/>
        <v>1.8747783674288228</v>
      </c>
      <c r="D48" s="332">
        <f t="shared" si="13"/>
        <v>1449.7253178144188</v>
      </c>
      <c r="F48" s="332">
        <f t="shared" si="14"/>
        <v>773.27824077821754</v>
      </c>
    </row>
    <row r="49" spans="1:6">
      <c r="A49">
        <f t="shared" si="11"/>
        <v>10</v>
      </c>
      <c r="B49" s="337">
        <f t="shared" si="12"/>
        <v>6.2999999999999987E-2</v>
      </c>
      <c r="C49" s="338">
        <f t="shared" si="15"/>
        <v>1.9928894045768384</v>
      </c>
      <c r="D49" s="332">
        <f t="shared" si="13"/>
        <v>1502.8397368086275</v>
      </c>
      <c r="E49" s="332">
        <f>'Valuation output'!B18</f>
        <v>31575.12474418664</v>
      </c>
      <c r="F49" s="332">
        <f>(D49+E49)/C49</f>
        <v>16597.993047195159</v>
      </c>
    </row>
    <row r="50" spans="1:6">
      <c r="A50" t="s">
        <v>44</v>
      </c>
      <c r="F50" s="332">
        <f>SUM(F40:F49)</f>
        <v>22169.904136459369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78.81</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78.81</v>
      </c>
      <c r="G14" s="20"/>
    </row>
    <row r="15" spans="1:7" s="8" customFormat="1" ht="14">
      <c r="A15" s="8" t="s">
        <v>75</v>
      </c>
      <c r="C15" s="18">
        <f ca="1">(C13*F14+C26*F13)/(F14+F13)</f>
        <v>119.71789894826991</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1.3251779858207826</v>
      </c>
    </row>
    <row r="21" spans="1:7" s="8" customFormat="1" ht="14">
      <c r="A21" s="8" t="s">
        <v>83</v>
      </c>
      <c r="B21" s="19">
        <f ca="1">NORMSDIST(B20)</f>
        <v>0.90744393746398966</v>
      </c>
    </row>
    <row r="22" spans="1:7" s="8" customFormat="1" ht="14"/>
    <row r="23" spans="1:7" s="8" customFormat="1" ht="15.75" customHeight="1">
      <c r="A23" s="8" t="s">
        <v>84</v>
      </c>
      <c r="B23" s="19">
        <f ca="1">B20-((F16^0.5)*(C17^(0.5)))</f>
        <v>7.6178386141102949E-2</v>
      </c>
    </row>
    <row r="24" spans="1:7" s="8" customFormat="1" ht="14">
      <c r="A24" s="8" t="s">
        <v>85</v>
      </c>
      <c r="B24" s="19">
        <f ca="1">NORMSDIST(B23)</f>
        <v>0.53036141096252787</v>
      </c>
    </row>
    <row r="25" spans="1:7" ht="15" thickBot="1">
      <c r="A25" s="8"/>
      <c r="B25" s="8"/>
    </row>
    <row r="26" spans="1:7" s="8" customFormat="1" ht="15" thickBot="1">
      <c r="A26" s="8" t="s">
        <v>86</v>
      </c>
      <c r="C26" s="25">
        <f ca="1">((EXP((0-F17)*C17))*C15*B21-C16*(EXP((0-F15)*C17))*B24)</f>
        <v>82.173031702408807</v>
      </c>
      <c r="G26" s="26"/>
    </row>
    <row r="27" spans="1:7" s="8" customFormat="1" ht="15" thickBot="1">
      <c r="A27" s="8" t="s">
        <v>87</v>
      </c>
      <c r="D27" s="27">
        <f ca="1">C26*D8</f>
        <v>1402.6936511601184</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8" sqref="B1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78.81</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285.02999999999997</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1.0412420580286896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5.4743082237569615E-2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0</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0</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3.0499999999999999E-2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1.0412420580286896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22463.2143</v>
      </c>
      <c r="C48" s="122">
        <f>C41+C42+C43</f>
        <v>0</v>
      </c>
      <c r="D48" s="122">
        <f>B36*B37</f>
        <v>0</v>
      </c>
      <c r="E48" s="121">
        <f>SUM(B48:D48)</f>
        <v>22463.2143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1</v>
      </c>
      <c r="C49" s="123">
        <f>C48/$E$48</f>
        <v>0</v>
      </c>
      <c r="D49" s="123">
        <f>D48/$E$48</f>
        <v>0</v>
      </c>
      <c r="E49" s="124">
        <f>SUM(B49:D49)</f>
        <v>1</v>
      </c>
      <c r="F49" s="8"/>
    </row>
    <row r="50" spans="1:11" ht="20" thickBot="1">
      <c r="A50" s="19" t="s">
        <v>203</v>
      </c>
      <c r="B50" s="125">
        <f>B12+C45*B15</f>
        <v>7.5000799611880789E-2</v>
      </c>
      <c r="C50" s="123">
        <f>B25*(1-B26)</f>
        <v>2.2265E-2</v>
      </c>
      <c r="D50" s="126">
        <f>B38/B37</f>
        <v>7.1428571428571425E-2</v>
      </c>
      <c r="E50" s="127">
        <f>B49*B50+C49*C50+D49*D50</f>
        <v>7.5000799611880789E-2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151.80000000000001</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128.9</v>
      </c>
      <c r="C11" s="185" t="s">
        <v>408</v>
      </c>
      <c r="D11" s="185"/>
      <c r="E11" s="185"/>
      <c r="F11" s="185"/>
      <c r="G11" s="185"/>
      <c r="H11" s="185"/>
      <c r="I11" s="185"/>
    </row>
    <row r="12" spans="1:10" s="186" customFormat="1" ht="14">
      <c r="A12" s="187">
        <f>IF((0-A11)&lt;$F$6,IF(A11&gt;-1,,A11-1),)</f>
        <v>-2</v>
      </c>
      <c r="B12" s="188">
        <v>97.6</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61.2</v>
      </c>
      <c r="C14" s="185"/>
      <c r="D14" s="185"/>
      <c r="E14" s="185"/>
      <c r="F14" s="185"/>
      <c r="G14" s="185"/>
      <c r="H14" s="185"/>
      <c r="I14" s="185"/>
    </row>
    <row r="15" spans="1:10" s="186" customFormat="1" ht="14">
      <c r="A15" s="187">
        <f t="shared" si="0"/>
        <v>-5</v>
      </c>
      <c r="B15" s="188">
        <v>52.8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151.80000000000001</v>
      </c>
      <c r="C24" s="184">
        <f>1</f>
        <v>1</v>
      </c>
      <c r="D24" s="184">
        <f>B24*C24</f>
        <v>151.80000000000001</v>
      </c>
      <c r="E24" s="185"/>
      <c r="F24" s="185"/>
      <c r="G24" s="185"/>
      <c r="H24" s="185"/>
      <c r="I24" s="185"/>
    </row>
    <row r="25" spans="1:9" s="186" customFormat="1" ht="14">
      <c r="A25" s="187">
        <f>A11</f>
        <v>-1</v>
      </c>
      <c r="B25" s="184">
        <f>B11</f>
        <v>128.9</v>
      </c>
      <c r="C25" s="184">
        <f>IF(A25&lt;0,($F$6+A25)/$F$6,0)</f>
        <v>0.8</v>
      </c>
      <c r="D25" s="184">
        <f>B25*C25</f>
        <v>103.12</v>
      </c>
      <c r="E25" s="192">
        <f t="shared" ref="E25:E34" si="1">IF(A25&lt;0,B25/$F$6,0)</f>
        <v>25.78</v>
      </c>
      <c r="F25" s="185"/>
      <c r="G25" s="185"/>
      <c r="H25" s="185"/>
      <c r="I25" s="185"/>
    </row>
    <row r="26" spans="1:9" s="186" customFormat="1" ht="14">
      <c r="A26" s="187">
        <f t="shared" ref="A26:B34" si="2">A12</f>
        <v>-2</v>
      </c>
      <c r="B26" s="184">
        <f t="shared" si="2"/>
        <v>97.6</v>
      </c>
      <c r="C26" s="184">
        <f>IF(A26&lt;0,($F$6+A26)/$F$6,0)</f>
        <v>0.6</v>
      </c>
      <c r="D26" s="184">
        <f t="shared" ref="D26:D34" si="3">B26*C26</f>
        <v>58.559999999999995</v>
      </c>
      <c r="E26" s="192">
        <f t="shared" si="1"/>
        <v>19.52</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61.2</v>
      </c>
      <c r="C28" s="184">
        <f t="shared" ref="C28:C34" si="4">IF(A28&lt;0,($F$6+A28)/$F$6,0)</f>
        <v>0.2</v>
      </c>
      <c r="D28" s="184">
        <f t="shared" si="3"/>
        <v>12.240000000000002</v>
      </c>
      <c r="E28" s="192">
        <f t="shared" si="1"/>
        <v>12.24</v>
      </c>
      <c r="F28" s="185"/>
      <c r="G28" s="185"/>
      <c r="H28" s="185"/>
      <c r="I28" s="185"/>
    </row>
    <row r="29" spans="1:9" s="186" customFormat="1" ht="14">
      <c r="A29" s="187">
        <f t="shared" si="2"/>
        <v>-5</v>
      </c>
      <c r="B29" s="184">
        <f t="shared" si="2"/>
        <v>52.8</v>
      </c>
      <c r="C29" s="184">
        <f t="shared" si="4"/>
        <v>0</v>
      </c>
      <c r="D29" s="184">
        <f t="shared" si="3"/>
        <v>0</v>
      </c>
      <c r="E29" s="192">
        <f t="shared" si="1"/>
        <v>10.559999999999999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356</v>
      </c>
      <c r="E35" s="25">
        <f>SUM(E25:E34)</f>
        <v>83.24</v>
      </c>
    </row>
    <row r="36" spans="1:9" ht="13" thickBot="1"/>
    <row r="37" spans="1:9" s="8" customFormat="1" ht="15" thickBot="1">
      <c r="A37" s="8" t="s">
        <v>415</v>
      </c>
      <c r="D37" s="195">
        <f>E35</f>
        <v>83.24</v>
      </c>
    </row>
    <row r="38" spans="1:9" s="8" customFormat="1" ht="15" thickBot="1"/>
    <row r="39" spans="1:9" s="8" customFormat="1" ht="14">
      <c r="A39" s="8" t="s">
        <v>416</v>
      </c>
      <c r="D39" s="196">
        <f>F7-D37</f>
        <v>68.560000000000016</v>
      </c>
      <c r="E39" s="8" t="s">
        <v>417</v>
      </c>
    </row>
    <row r="40" spans="1:9" ht="14">
      <c r="A40" t="s">
        <v>418</v>
      </c>
      <c r="D40" s="197">
        <f>D39*'Input sheet'!B22</f>
        <v>18.511200000000006</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3.0499999999999999E-2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139.93207180980107</v>
      </c>
    </row>
    <row r="23" spans="1:7" s="8" customFormat="1" ht="14">
      <c r="A23" s="19">
        <f t="shared" ref="A23:B26" si="0">A8</f>
        <v>2</v>
      </c>
      <c r="B23" s="28">
        <f t="shared" si="0"/>
        <v>148.9</v>
      </c>
      <c r="C23" s="9">
        <f>B23/(1+$C$15)^A23</f>
        <v>140.21636543454716</v>
      </c>
    </row>
    <row r="24" spans="1:7" s="8" customFormat="1" ht="14">
      <c r="A24" s="19">
        <f t="shared" si="0"/>
        <v>3</v>
      </c>
      <c r="B24" s="28">
        <f t="shared" si="0"/>
        <v>123.9</v>
      </c>
      <c r="C24" s="9">
        <f>B24/(1+$C$15)^A24</f>
        <v>113.22108646223296</v>
      </c>
    </row>
    <row r="25" spans="1:7" s="8" customFormat="1" ht="14">
      <c r="A25" s="19">
        <f t="shared" si="0"/>
        <v>4</v>
      </c>
      <c r="B25" s="28">
        <f t="shared" si="0"/>
        <v>97.4</v>
      </c>
      <c r="C25" s="9">
        <f>B25/(1+$C$15)^A25</f>
        <v>86.370806005386868</v>
      </c>
    </row>
    <row r="26" spans="1:7" s="8" customFormat="1" ht="14">
      <c r="A26" s="19">
        <f t="shared" si="0"/>
        <v>5</v>
      </c>
      <c r="B26" s="28">
        <f t="shared" si="0"/>
        <v>80</v>
      </c>
      <c r="C26" s="9">
        <f>B26/(1+$C$15)^A26</f>
        <v>68.841449550824578</v>
      </c>
    </row>
    <row r="27" spans="1:7" s="8" customFormat="1" ht="15" thickBot="1">
      <c r="A27" s="36" t="str">
        <f>A12</f>
        <v>6 and beyond</v>
      </c>
      <c r="B27" s="37">
        <f>IF(B12&gt;0,IF(D18&gt;0,B12/D18,B12),0)</f>
        <v>72.599999999999994</v>
      </c>
      <c r="C27" s="38">
        <f>IF(D18&gt;0,(B27*(1-(1+C15)^(-D18))/C15)/(1+$C$15)^5,B27/(1+C15)^6)</f>
        <v>119.45480996186075</v>
      </c>
      <c r="D27" s="8" t="s">
        <v>126</v>
      </c>
    </row>
    <row r="28" spans="1:7" s="8" customFormat="1" ht="15" thickBot="1">
      <c r="A28" s="32" t="s">
        <v>127</v>
      </c>
      <c r="B28" s="39"/>
      <c r="C28" s="40">
        <f>SUM(C22:C27)</f>
        <v>668.03658922465331</v>
      </c>
    </row>
    <row r="29" spans="1:7" s="8" customFormat="1" ht="14"/>
    <row r="30" spans="1:7" s="8" customFormat="1" ht="14">
      <c r="A30" s="15" t="s">
        <v>128</v>
      </c>
    </row>
    <row r="31" spans="1:7" s="8" customFormat="1" ht="15" thickBot="1">
      <c r="A31" s="8" t="s">
        <v>129</v>
      </c>
      <c r="F31" s="38">
        <f>C28/(5+D18)</f>
        <v>95.433798460664761</v>
      </c>
      <c r="G31" s="8" t="s">
        <v>130</v>
      </c>
    </row>
    <row r="32" spans="1:7" s="8" customFormat="1" ht="15" thickBot="1">
      <c r="A32" s="8" t="s">
        <v>131</v>
      </c>
      <c r="F32" s="81">
        <f>E4-F31</f>
        <v>74.566201539335239</v>
      </c>
      <c r="G32" s="8" t="s">
        <v>133</v>
      </c>
    </row>
    <row r="33" spans="1:7" s="8" customFormat="1" ht="15" thickBot="1">
      <c r="A33" s="8" t="s">
        <v>132</v>
      </c>
      <c r="F33" s="41">
        <f>C28</f>
        <v>668.03658922465331</v>
      </c>
      <c r="G33" s="8" t="s">
        <v>134</v>
      </c>
    </row>
    <row r="34" spans="1:7" ht="14">
      <c r="A34" s="8" t="s">
        <v>489</v>
      </c>
      <c r="F34" s="241">
        <f>C28/(5+D18)</f>
        <v>95.433798460664761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483</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1000000</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2020-01-17T06:55:16Z</dcterms:modified>
</cp:coreProperties>
</file>