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25D0F539-23A4-7A44-8007-DF744959AC33}"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41" i="19" s="1"/>
  <c r="C50" i="19" l="1"/>
  <c r="C15" i="18"/>
  <c r="C42" i="19"/>
  <c r="C44" i="19" s="1"/>
  <c r="C25" i="18" l="1"/>
  <c r="C26" i="18"/>
  <c r="C27" i="18"/>
  <c r="C22" i="18"/>
  <c r="C23" i="18"/>
  <c r="C24" i="18"/>
  <c r="C28" i="18" l="1"/>
  <c r="F31" i="18" l="1"/>
  <c r="F32" i="18" s="1"/>
  <c r="B25" i="13"/>
  <c r="D34" i="28" s="1"/>
  <c r="F33" i="18"/>
  <c r="F34" i="18"/>
  <c r="F6" i="20"/>
  <c r="B39" i="13" l="1"/>
  <c r="B33" i="19"/>
  <c r="C43" i="19" s="1"/>
  <c r="C48" i="19" s="1"/>
  <c r="F5" i="20"/>
  <c r="D9" i="20" s="1"/>
  <c r="B5" i="13"/>
  <c r="D11" i="20" l="1"/>
  <c r="D13" i="20" s="1"/>
  <c r="D10" i="20"/>
  <c r="B7" i="13"/>
  <c r="N5" i="13"/>
  <c r="B4" i="13"/>
  <c r="B5" i="12"/>
  <c r="E48" i="19"/>
  <c r="C49" i="19" s="1"/>
  <c r="C45" i="19"/>
  <c r="B50" i="19" s="1"/>
  <c r="G15" i="29"/>
  <c r="B27" i="11"/>
  <c r="B2" i="12"/>
  <c r="B49" i="19" l="1"/>
  <c r="D49" i="19"/>
  <c r="D4" i="13"/>
  <c r="E4" i="13"/>
  <c r="F4" i="13"/>
  <c r="G4" i="13"/>
  <c r="B10" i="28"/>
  <c r="C10" i="28" s="1"/>
  <c r="D2" i="29"/>
  <c r="E2" i="29" s="1"/>
  <c r="I24" i="11"/>
  <c r="C4" i="13"/>
  <c r="D12" i="28"/>
  <c r="C38" i="13"/>
  <c r="B40" i="13"/>
  <c r="B13" i="28" s="1"/>
  <c r="H2" i="29"/>
  <c r="B15" i="29" s="1"/>
  <c r="H15" i="29" s="1"/>
  <c r="I26" i="11"/>
  <c r="D5" i="13" l="1"/>
  <c r="C18" i="28"/>
  <c r="D18" i="28" s="1"/>
  <c r="D4" i="29"/>
  <c r="E4" i="29" s="1"/>
  <c r="C19" i="28"/>
  <c r="D19" i="28" s="1"/>
  <c r="E5" i="13"/>
  <c r="D5" i="29"/>
  <c r="E5" i="29" s="1"/>
  <c r="G5" i="13"/>
  <c r="C21" i="28"/>
  <c r="D21" i="28" s="1"/>
  <c r="D7" i="29"/>
  <c r="E7" i="29" s="1"/>
  <c r="F5" i="13"/>
  <c r="C20" i="28"/>
  <c r="D20" i="28" s="1"/>
  <c r="D6" i="29"/>
  <c r="E6" i="29" s="1"/>
  <c r="D16" i="29"/>
  <c r="E16" i="29" s="1"/>
  <c r="G16" i="29" s="1"/>
  <c r="D38" i="13"/>
  <c r="C8" i="13"/>
  <c r="C5" i="13"/>
  <c r="D3" i="29"/>
  <c r="E3" i="29" s="1"/>
  <c r="C17" i="28"/>
  <c r="D17" i="28" s="1"/>
  <c r="G2" i="29"/>
  <c r="E49" i="19"/>
  <c r="E50" i="19"/>
  <c r="B30" i="11" s="1"/>
  <c r="C12" i="13" s="1"/>
  <c r="F17" i="28" l="1"/>
  <c r="C39" i="13"/>
  <c r="C7" i="13"/>
  <c r="C10" i="13"/>
  <c r="F3" i="29" s="1"/>
  <c r="E38" i="13"/>
  <c r="D17" i="29"/>
  <c r="E17" i="29" s="1"/>
  <c r="G17" i="29" s="1"/>
  <c r="D8" i="13"/>
  <c r="F18" i="28" s="1"/>
  <c r="C13" i="13"/>
  <c r="D12" i="13"/>
  <c r="H28" i="29"/>
  <c r="B40" i="29" s="1"/>
  <c r="C40" i="29" s="1"/>
  <c r="C14" i="28"/>
  <c r="D39" i="13" l="1"/>
  <c r="E12" i="13"/>
  <c r="H29" i="29"/>
  <c r="B41" i="29" s="1"/>
  <c r="C41" i="29" s="1"/>
  <c r="C40" i="13"/>
  <c r="H3" i="29"/>
  <c r="C9" i="13"/>
  <c r="C14" i="13" s="1"/>
  <c r="E17" i="28"/>
  <c r="G17" i="28" s="1"/>
  <c r="D13" i="13"/>
  <c r="D7" i="13"/>
  <c r="D18" i="29"/>
  <c r="E18" i="29" s="1"/>
  <c r="G18" i="29" s="1"/>
  <c r="F38" i="13"/>
  <c r="E8" i="13"/>
  <c r="D10" i="13"/>
  <c r="E13" i="13" l="1"/>
  <c r="B16" i="29"/>
  <c r="G3" i="29"/>
  <c r="D19" i="29"/>
  <c r="E19" i="29" s="1"/>
  <c r="G19" i="29" s="1"/>
  <c r="G38" i="13"/>
  <c r="F8" i="13"/>
  <c r="F20" i="28" s="1"/>
  <c r="H4" i="29"/>
  <c r="E18" i="28"/>
  <c r="G18" i="28" s="1"/>
  <c r="D40" i="13"/>
  <c r="D9" i="13"/>
  <c r="D14" i="13" s="1"/>
  <c r="F4" i="29"/>
  <c r="E10" i="13"/>
  <c r="E7" i="13"/>
  <c r="F19" i="28"/>
  <c r="E39" i="13"/>
  <c r="H30" i="29"/>
  <c r="B42" i="29" s="1"/>
  <c r="C42" i="29" s="1"/>
  <c r="F12" i="13"/>
  <c r="H38" i="13" l="1"/>
  <c r="G8" i="13"/>
  <c r="F21" i="28" s="1"/>
  <c r="D20" i="29"/>
  <c r="E20" i="29" s="1"/>
  <c r="G20" i="29" s="1"/>
  <c r="E19" i="28"/>
  <c r="G19" i="28" s="1"/>
  <c r="H5" i="29"/>
  <c r="E40" i="13"/>
  <c r="E9" i="13"/>
  <c r="E14" i="13" s="1"/>
  <c r="F5" i="29"/>
  <c r="F10" i="13"/>
  <c r="F7" i="13"/>
  <c r="G12" i="13"/>
  <c r="H31" i="29"/>
  <c r="B43" i="29" s="1"/>
  <c r="C43" i="29" s="1"/>
  <c r="H16" i="29"/>
  <c r="F16" i="29"/>
  <c r="D40" i="29" s="1"/>
  <c r="F40" i="29" s="1"/>
  <c r="F39" i="13"/>
  <c r="F13" i="13"/>
  <c r="B17" i="29"/>
  <c r="G4" i="29"/>
  <c r="I38" i="13" l="1"/>
  <c r="D21" i="29"/>
  <c r="E21" i="29" s="1"/>
  <c r="G21" i="29" s="1"/>
  <c r="H8" i="13"/>
  <c r="F22" i="28" s="1"/>
  <c r="B18" i="29"/>
  <c r="G5" i="29"/>
  <c r="F17" i="29"/>
  <c r="D41" i="29" s="1"/>
  <c r="F41" i="29" s="1"/>
  <c r="H17" i="29"/>
  <c r="G13" i="13"/>
  <c r="H6" i="29"/>
  <c r="E20" i="28"/>
  <c r="G20" i="28" s="1"/>
  <c r="F40" i="13"/>
  <c r="F9" i="13"/>
  <c r="F14" i="13" s="1"/>
  <c r="F6" i="29"/>
  <c r="G7" i="13"/>
  <c r="G10" i="13"/>
  <c r="G39" i="13"/>
  <c r="H32" i="29"/>
  <c r="B44" i="29" s="1"/>
  <c r="C44" i="29" s="1"/>
  <c r="H12" i="13"/>
  <c r="H18" i="29" l="1"/>
  <c r="F18" i="29"/>
  <c r="D42" i="29" s="1"/>
  <c r="F42" i="29" s="1"/>
  <c r="B19" i="29"/>
  <c r="G6" i="29"/>
  <c r="H13" i="13"/>
  <c r="I8" i="13"/>
  <c r="F23" i="28" s="1"/>
  <c r="D22" i="29"/>
  <c r="E22" i="29" s="1"/>
  <c r="G22" i="29" s="1"/>
  <c r="J38" i="13"/>
  <c r="H7" i="13"/>
  <c r="F7" i="29"/>
  <c r="H10" i="13"/>
  <c r="H33" i="29"/>
  <c r="B45" i="29" s="1"/>
  <c r="C45" i="29" s="1"/>
  <c r="I12" i="13"/>
  <c r="H39" i="13"/>
  <c r="G40" i="13"/>
  <c r="E21" i="28"/>
  <c r="G21" i="28" s="1"/>
  <c r="G9" i="13"/>
  <c r="G14" i="13" s="1"/>
  <c r="H7" i="29"/>
  <c r="I7" i="13" l="1"/>
  <c r="F8" i="29"/>
  <c r="I10" i="13"/>
  <c r="H19" i="29"/>
  <c r="F19" i="29"/>
  <c r="D43" i="29" s="1"/>
  <c r="F43" i="29" s="1"/>
  <c r="J12" i="13"/>
  <c r="H34" i="29"/>
  <c r="B46" i="29" s="1"/>
  <c r="C46" i="29" s="1"/>
  <c r="H40" i="13"/>
  <c r="E22" i="28"/>
  <c r="G22" i="28" s="1"/>
  <c r="H8" i="29"/>
  <c r="H9" i="13"/>
  <c r="H14" i="13" s="1"/>
  <c r="B20" i="29"/>
  <c r="G7" i="29"/>
  <c r="J8" i="13"/>
  <c r="F24" i="28" s="1"/>
  <c r="K38" i="13"/>
  <c r="D23" i="29"/>
  <c r="E23" i="29" s="1"/>
  <c r="G23" i="29" s="1"/>
  <c r="I13" i="13"/>
  <c r="I39" i="13"/>
  <c r="F20" i="29" l="1"/>
  <c r="D44" i="29" s="1"/>
  <c r="F44" i="29" s="1"/>
  <c r="H20" i="29"/>
  <c r="G8" i="29"/>
  <c r="B21" i="29"/>
  <c r="F9" i="29"/>
  <c r="J10" i="13"/>
  <c r="J7" i="13"/>
  <c r="H9" i="29"/>
  <c r="I9" i="13"/>
  <c r="I14" i="13" s="1"/>
  <c r="E23" i="28"/>
  <c r="G23" i="28" s="1"/>
  <c r="I40" i="13"/>
  <c r="H35" i="29"/>
  <c r="B47" i="29" s="1"/>
  <c r="C47" i="29" s="1"/>
  <c r="K12" i="13"/>
  <c r="J39" i="13"/>
  <c r="J13" i="13"/>
  <c r="D24" i="29"/>
  <c r="E24" i="29" s="1"/>
  <c r="G24" i="29" s="1"/>
  <c r="L38" i="13"/>
  <c r="K8" i="13"/>
  <c r="F25" i="28" s="1"/>
  <c r="K13" i="13" l="1"/>
  <c r="K39" i="13"/>
  <c r="J9" i="13"/>
  <c r="J14" i="13" s="1"/>
  <c r="E24" i="28"/>
  <c r="G24" i="28" s="1"/>
  <c r="H10" i="29"/>
  <c r="J40" i="13"/>
  <c r="K10" i="13"/>
  <c r="F10" i="29"/>
  <c r="K7" i="13"/>
  <c r="H21" i="29"/>
  <c r="F21" i="29"/>
  <c r="D45" i="29" s="1"/>
  <c r="F45" i="29" s="1"/>
  <c r="L8" i="13"/>
  <c r="F26" i="28" s="1"/>
  <c r="D25" i="29"/>
  <c r="E25" i="29" s="1"/>
  <c r="G25" i="29" s="1"/>
  <c r="L12" i="13"/>
  <c r="H36" i="29"/>
  <c r="B48" i="29" s="1"/>
  <c r="C48" i="29" s="1"/>
  <c r="G9" i="29"/>
  <c r="B22" i="29"/>
  <c r="L39" i="13" l="1"/>
  <c r="B3" i="12" s="1"/>
  <c r="B4" i="12" s="1"/>
  <c r="B6" i="12" s="1"/>
  <c r="D13" i="28" s="1"/>
  <c r="L13" i="13"/>
  <c r="B8" i="12" s="1"/>
  <c r="L10" i="13"/>
  <c r="L7" i="13"/>
  <c r="F11" i="29"/>
  <c r="H22" i="29"/>
  <c r="F22" i="29"/>
  <c r="D46" i="29" s="1"/>
  <c r="F46" i="29" s="1"/>
  <c r="G10" i="29"/>
  <c r="B23" i="29"/>
  <c r="K40" i="13"/>
  <c r="H11" i="29"/>
  <c r="E25" i="28"/>
  <c r="G25" i="28" s="1"/>
  <c r="K9" i="13"/>
  <c r="K14" i="13" s="1"/>
  <c r="M40" i="13"/>
  <c r="H37" i="29"/>
  <c r="B49" i="29" s="1"/>
  <c r="C49" i="29" s="1"/>
  <c r="F23" i="29" l="1"/>
  <c r="D47" i="29" s="1"/>
  <c r="F47" i="29" s="1"/>
  <c r="H23" i="29"/>
  <c r="F12" i="28"/>
  <c r="F13" i="28"/>
  <c r="M8" i="13"/>
  <c r="E26" i="28"/>
  <c r="G26" i="28" s="1"/>
  <c r="L9" i="13"/>
  <c r="L14" i="13" s="1"/>
  <c r="B20" i="13" s="1"/>
  <c r="D31" i="28" s="1"/>
  <c r="L40" i="13"/>
  <c r="H12" i="29"/>
  <c r="B24" i="29"/>
  <c r="G11" i="29"/>
  <c r="F12" i="29"/>
  <c r="M10" i="13"/>
  <c r="J33" i="11" l="1"/>
  <c r="B7" i="12"/>
  <c r="F27" i="28"/>
  <c r="G27" i="28" s="1"/>
  <c r="M9" i="13"/>
  <c r="B16" i="13" s="1"/>
  <c r="B18" i="13" s="1"/>
  <c r="N8" i="13"/>
  <c r="H24" i="29"/>
  <c r="F24" i="29"/>
  <c r="D48" i="29" s="1"/>
  <c r="F48" i="29" s="1"/>
  <c r="B25" i="29"/>
  <c r="G12" i="29"/>
  <c r="H25" i="29" l="1"/>
  <c r="F25" i="29"/>
  <c r="D49" i="29" s="1"/>
  <c r="B19" i="13"/>
  <c r="E49" i="29"/>
  <c r="D29" i="28"/>
  <c r="F49" i="29" l="1"/>
  <c r="F50" i="29" s="1"/>
  <c r="B21" i="13"/>
  <c r="D30" i="28"/>
  <c r="B23" i="13" l="1"/>
  <c r="B24" i="13" s="1"/>
  <c r="B29" i="13" s="1"/>
  <c r="B31" i="13" s="1"/>
  <c r="B33" i="13" s="1"/>
  <c r="D32" i="28"/>
  <c r="D33" i="28" l="1"/>
  <c r="D36" i="28" s="1"/>
  <c r="D39" i="28" s="1"/>
  <c r="B35" i="13"/>
  <c r="B9" i="12"/>
  <c r="B10" i="12" s="1"/>
  <c r="D27" i="14"/>
  <c r="B21"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<sst xmlns="http://schemas.openxmlformats.org/spreadsheetml/2006/main" count="1396" uniqueCount="765">
  <si>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</si>
  <si>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</si>
  <si>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</si>
  <si>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</si>
  <si>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</si>
  <si>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</si>
  <si>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</si>
  <si>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</si>
  <si>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</si>
  <si>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</si>
  <si>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</si>
  <si>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</si>
  <si>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</si>
  <si>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</si>
  <si>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</si>
  <si>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</si>
  <si>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</si>
  <si>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</si>
  <si>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</si>
  <si>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</si>
  <si>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</si>
  <si>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</si>
  <si>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</si>
  <si>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</si>
  <si>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</si>
  <si>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</si>
  <si>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</si>
  <si>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</si>
  <si>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</si>
  <si>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</si>
  <si>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</si>
  <si>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</si>
  <si>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</si>
  <si>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</si>
  <si>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</si>
  <si>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</si>
  <si>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</si>
  <si>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</si>
  <si>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</si>
  <si>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</si>
  <si>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</si>
  <si>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</si>
  <si>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</si>
  <si>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</si>
  <si>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</si>
  <si>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</si>
  <si>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</si>
  <si>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</si>
  <si>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</si>
  <si>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</si>
  <si>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</si>
  <si>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</si>
  <si>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</si>
  <si>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</si>
  <si>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</si>
  <si>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</si>
  <si>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</si>
  <si>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</si>
  <si>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</si>
  <si>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</si>
  <si>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</si>
  <si>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</si>
  <si>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</si>
  <si>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</si>
  <si>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</si>
  <si>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</si>
  <si>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</si>
  <si>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</si>
  <si>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</si>
  <si>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</si>
  <si>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</si>
  <si>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</si>
  <si>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</si>
  <si>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</si>
  <si>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</si>
  <si>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</si>
  <si>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</si>
  <si>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</si>
  <si>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</si>
  <si>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</si>
  <si>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</si>
  <si>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</si>
  <si>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</si>
  <si>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</si>
  <si>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</si>
  <si>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</si>
  <si>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</si>
  <si>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</si>
  <si>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</si>
  <si>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</si>
  <si>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</si>
  <si>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</si>
  <si>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</si>
  <si>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</si>
  <si>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</si>
  <si>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</si>
  <si>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</si>
  <si>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</si>
  <si>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</si>
  <si>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</si>
  <si>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</si>
  <si>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</si>
  <si>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</si>
  <si>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</si>
  <si>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</si>
  <si>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</si>
  <si>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</si>
  <si>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</si>
  <si>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</si>
  <si>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</si>
  <si>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</si>
  <si>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</si>
  <si>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</si>
  <si>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</si>
  <si>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</si>
  <si>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</si>
  <si>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</si>
  <si>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</si>
  <si>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</si>
  <si>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</si>
  <si>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</si>
  <si>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</si>
  <si>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</si>
  <si>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</si>
  <si>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</si>
  <si>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</si>
  <si>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</si>
  <si>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</si>
  <si>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</si>
  <si>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</si>
  <si>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</si>
  <si>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</si>
  <si>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</si>
  <si>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</si>
  <si>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</si>
  <si>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</si>
  <si>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</si>
  <si>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</si>
  <si>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</si>
  <si>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</si>
  <si>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</si>
  <si>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</si>
  <si>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</si>
  <si>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</si>
  <si>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</si>
  <si>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</si>
  <si>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</si>
  <si>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</si>
  <si>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</si>
  <si>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</si>
  <si>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</si>
  <si>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</si>
  <si>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</si>
  <si>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</si>
  <si>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</si>
  <si>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</si>
  <si>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</si>
  <si>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</si>
  <si>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</si>
  <si>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</si>
  <si>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</si>
  <si>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</si>
  <si>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</si>
  <si>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</si>
  <si>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</si>
  <si>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</si>
  <si>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</si>
  <si>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</si>
  <si>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</si>
  <si>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</si>
  <si>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</si>
  <si>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</si>
  <si>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</si>
  <si>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</si>
  <si>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</si>
  <si>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</si>
  <si>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</si>
  <si>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</si>
  <si>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</si>
  <si>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</si>
  <si>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</si>
  <si>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</si>
  <si>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</si>
  <si>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</si>
  <si>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</si>
  <si>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</si>
  <si>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</si>
  <si>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</si>
  <si>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</si>
  <si>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</si>
  <si>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</si>
  <si>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</si>
  <si>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</si>
  <si>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</si>
  <si>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</si>
  <si>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</si>
  <si>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</si>
  <si>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</si>
  <si>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</si>
  <si>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</si>
  <si>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</si>
  <si>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</si>
  <si>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</si>
  <si>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</si>
  <si>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</si>
  <si>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</si>
  <si>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</si>
  <si>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</si>
  <si>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</si>
  <si>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</si>
  <si>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</si>
  <si>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</si>
  <si>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</si>
  <si>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</si>
  <si>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</si>
  <si>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</si>
  <si>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</si>
  <si>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</si>
  <si>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</si>
  <si>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</si>
  <si>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</si>
  <si>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</si>
  <si>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</si>
  <si>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</si>
  <si>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</si>
  <si>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</si>
  <si>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</si>
  <si>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</si>
  <si>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</si>
  <si>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</si>
  <si>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</si>
  <si>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</si>
  <si>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</si>
  <si>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</si>
  <si>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</si>
  <si>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</si>
  <si>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</si>
  <si>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</si>
  <si>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</si>
  <si>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</si>
  <si>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</si>
  <si>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</si>
  <si>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</si>
  <si>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</si>
  <si>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</si>
  <si>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</si>
  <si>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</si>
  <si>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</si>
  <si>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</si>
  <si>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</si>
  <si>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</si>
  <si>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</si>
  <si>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</si>
  <si>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</si>
  <si>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</si>
  <si>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</si>
  <si>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</si>
  <si>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</si>
  <si>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</si>
  <si>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</si>
  <si>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</si>
  <si>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</si>
  <si>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</si>
  <si>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</si>
  <si>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</si>
  <si>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</si>
  <si>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</si>
  <si>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</si>
  <si>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</si>
  <si>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</si>
  <si>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</si>
  <si>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</si>
  <si>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</si>
  <si>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</si>
  <si>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</si>
  <si>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</si>
  <si>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</si>
  <si>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</si>
  <si>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</si>
  <si>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</si>
  <si>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</si>
  <si>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</si>
  <si>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</si>
  <si>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</si>
  <si>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</si>
  <si>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</si>
  <si>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</si>
  <si>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</si>
  <si>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</si>
  <si>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</si>
  <si>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</si>
  <si>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</si>
  <si>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</si>
  <si>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</si>
  <si>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</si>
  <si>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</si>
  <si>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</si>
  <si>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</si>
  <si>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</si>
  <si>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</si>
  <si>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</si>
  <si>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</si>
  <si>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</si>
  <si>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</si>
  <si>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</si>
  <si>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</si>
  <si>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</si>
  <si>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</si>
  <si>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</si>
  <si>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</si>
  <si>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</si>
  <si>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</si>
  <si>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</si>
  <si>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</si>
  <si>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</si>
  <si>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</si>
  <si>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</si>
  <si>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</si>
  <si>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</si>
  <si>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</si>
  <si>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</si>
  <si>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</si>
  <si>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</si>
  <si>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</si>
  <si>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</si>
  <si>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</si>
  <si>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</si>
  <si>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</si>
  <si>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</si>
  <si>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</si>
  <si>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</si>
  <si>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</si>
  <si>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</si>
  <si>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</si>
  <si>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</si>
  <si>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</si>
  <si>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</si>
  <si>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</si>
  <si>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</si>
  <si>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</si>
  <si>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</si>
  <si>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</si>
  <si>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</si>
  <si>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</si>
  <si>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</si>
  <si>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</si>
  <si>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</si>
  <si>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</si>
  <si>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</si>
  <si>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</si>
  <si>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</si>
  <si>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</si>
  <si>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</si>
  <si>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</si>
  <si>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</si>
  <si>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</si>
  <si>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</si>
  <si>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</si>
  <si>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</si>
  <si>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</si>
  <si>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</si>
  <si>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</si>
  <si>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</si>
  <si>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</si>
  <si>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</si>
  <si>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</si>
  <si>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</si>
  <si>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</si>
  <si>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</si>
  <si>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</si>
  <si>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</si>
  <si>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</si>
  <si>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</si>
  <si>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</si>
  <si>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</si>
  <si>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</si>
  <si>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</si>
  <si>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</si>
  <si>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</si>
  <si>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</si>
  <si>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</si>
  <si>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</si>
  <si>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</si>
  <si>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</si>
  <si>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</si>
  <si>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</si>
  <si>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</si>
  <si>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</si>
  <si>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</si>
  <si>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</si>
  <si>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</si>
  <si>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</si>
  <si>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</si>
  <si>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</si>
  <si>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</si>
  <si>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</si>
  <si>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</si>
  <si>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</si>
  <si>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</si>
  <si>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</si>
  <si>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</si>
  <si>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</si>
  <si>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</si>
  <si>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</si>
  <si>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</si>
  <si>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</si>
  <si>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</si>
  <si>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</si>
  <si>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</si>
  <si>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</si>
  <si>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</si>
  <si>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</si>
  <si>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</si>
  <si>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</si>
  <si>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</si>
  <si>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</si>
  <si>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</si>
  <si>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</si>
  <si>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</si>
  <si>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</si>
  <si>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</si>
  <si>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</si>
  <si>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</si>
  <si>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</si>
  <si>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</si>
  <si>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</si>
  <si>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</si>
  <si>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</si>
  <si>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</si>
  <si>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</si>
  <si>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</si>
  <si>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</si>
  <si>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</si>
  <si>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</si>
  <si>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</si>
  <si>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</si>
  <si>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</si>
  <si>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</si>
  <si>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</si>
  <si>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</si>
  <si>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</si>
  <si>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</si>
  <si>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</si>
  <si>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</si>
  <si>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</si>
  <si>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</si>
  <si>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</si>
  <si>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</si>
  <si>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</si>
  <si>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</si>
  <si>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</si>
  <si>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</si>
  <si>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</si>
  <si>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</si>
  <si>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</si>
  <si>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</si>
  <si>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</si>
  <si>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</si>
  <si>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</si>
  <si>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</si>
  <si>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</si>
  <si>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</si>
  <si>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</si>
  <si>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</si>
  <si>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</si>
  <si>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</si>
  <si>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</si>
  <si>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</si>
  <si>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</si>
  <si>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</si>
  <si>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</si>
  <si>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</si>
  <si>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</si>
  <si>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</si>
  <si>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</si>
  <si>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</si>
  <si>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</si>
  <si>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</si>
  <si>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</si>
  <si>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</si>
  <si>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</si>
  <si>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</si>
  <si>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</si>
  <si>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</si>
  <si>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</si>
  <si>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</si>
  <si>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</si>
  <si>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</si>
  <si>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</si>
  <si>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</si>
  <si>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</si>
  <si>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</si>
  <si>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</si>
  <si>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</si>
  <si>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</si>
  <si>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</si>
  <si>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</si>
  <si>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</si>
  <si>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</si>
  <si>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</si>
  <si>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</si>
  <si>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</si>
  <si>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</si>
  <si>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</si>
  <si>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</si>
  <si>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</si>
  <si>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</si>
  <si>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</si>
  <si>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</si>
  <si>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</si>
  <si>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</si>
  <si>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</si>
  <si>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</si>
  <si>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</si>
  <si>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</si>
  <si>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</si>
  <si>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</si>
  <si>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</si>
  <si>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</si>
  <si>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</si>
  <si>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</si>
  <si>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</si>
  <si>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</si>
  <si>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</si>
  <si>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</si>
  <si>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</si>
  <si>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</si>
  <si>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</si>
  <si>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</si>
  <si>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</si>
  <si>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</si>
  <si>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</si>
  <si>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</si>
  <si>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</si>
  <si>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</si>
  <si>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</si>
  <si>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</si>
  <si>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</si>
  <si>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</si>
  <si>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</si>
  <si>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</si>
  <si>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</si>
  <si>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</si>
  <si>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</si>
  <si>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</si>
  <si>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</si>
  <si>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</si>
  <si>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</si>
  <si>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</si>
  <si>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</si>
  <si>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</si>
  <si>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</si>
  <si>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</si>
  <si>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</si>
  <si>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</si>
  <si>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</si>
  <si>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</si>
  <si>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</si>
  <si>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</si>
  <si>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</si>
  <si>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</si>
  <si>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</si>
  <si>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</si>
  <si>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</si>
  <si>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</si>
  <si>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</si>
  <si>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</si>
  <si>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</si>
  <si>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</si>
  <si>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</si>
  <si>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</si>
  <si>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</si>
  <si>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</si>
  <si>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</si>
  <si>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</si>
  <si>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</si>
  <si>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</si>
  <si>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</si>
  <si>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</si>
  <si>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</si>
  <si>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</si>
  <si>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</si>
  <si>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</si>
  <si>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</si>
  <si>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</si>
  <si>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</si>
  <si>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</si>
  <si>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</si>
  <si>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</si>
  <si>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</si>
  <si>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</si>
  <si>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</si>
  <si>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</si>
  <si>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</si>
  <si>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</si>
  <si>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</si>
  <si>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</si>
  <si>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</si>
  <si>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</si>
  <si>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</si>
  <si>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</si>
  <si>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</si>
  <si>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</si>
  <si>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</si>
  <si>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</si>
  <si>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</si>
  <si>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</si>
  <si>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</si>
  <si>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</si>
  <si>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</si>
  <si>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</si>
  <si>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</si>
  <si>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</si>
  <si>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</si>
  <si>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</si>
  <si>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</si>
  <si>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</si>
  <si>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</si>
  <si>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</si>
  <si>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</si>
  <si>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</si>
  <si>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</si>
  <si>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</si>
  <si>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</si>
  <si>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</si>
  <si>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</si>
  <si>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</si>
  <si>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</si>
  <si>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</si>
  <si>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</si>
  <si>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</si>
  <si>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</si>
  <si>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</si>
  <si>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</si>
  <si>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</si>
  <si>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</si>
  <si>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</si>
  <si>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</si>
  <si>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</si>
  <si>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</si>
  <si>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</si>
  <si>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</si>
  <si>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</si>
  <si>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</si>
  <si>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</si>
  <si>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</si>
  <si>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</si>
  <si>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</si>
  <si>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</si>
  <si>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</si>
  <si>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</si>
  <si>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</si>
  <si>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</si>
  <si>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</si>
  <si>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</si>
  <si>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</si>
  <si>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</si>
  <si>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</si>
  <si>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</si>
  <si>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</si>
  <si>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</si>
  <si>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</si>
  <si>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</si>
  <si>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</si>
  <si>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</si>
  <si>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</si>
  <si>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</si>
  <si>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</si>
  <si>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</si>
  <si>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</si>
  <si>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</si>
  <si>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</si>
  <si>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</si>
  <si>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</si>
  <si>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</si>
  <si>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</si>
  <si>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</si>
  <si>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</si>
  <si>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</si>
  <si>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</si>
  <si>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</si>
  <si>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</si>
  <si>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</si>
  <si>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</si>
  <si>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</si>
  <si>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</si>
  <si>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</si>
  <si>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</si>
  <si>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</si>
  <si>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</si>
  <si>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</si>
  <si>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</si>
  <si>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</si>
  <si>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</si>
  <si>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</si>
  <si>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</si>
  <si>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</si>
  <si>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</si>
  <si>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</si>
  <si>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</si>
  <si>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</si>
  <si>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</si>
  <si>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</si>
  <si>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</si>
  <si>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</si>
  <si>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</si>
  <si>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</si>
  <si>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</si>
  <si>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</si>
  <si>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</si>
  <si>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</si>
  <si>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</si>
  <si>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</si>
  <si>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</si>
  <si>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</si>
  <si>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</si>
  <si>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</si>
  <si>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</si>
  <si>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</si>
  <si>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</si>
  <si>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</si>
  <si>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</si>
  <si>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</si>
  <si>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</si>
  <si>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</si>
  <si>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</si>
  <si>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</si>
  <si>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</si>
  <si>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</si>
  <si>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</si>
  <si>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</si>
  <si>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</si>
  <si>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</si>
  <si>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</si>
  <si>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</si>
  <si>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</si>
  <si>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</si>
  <si>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</si>
  <si>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</si>
  <si>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</si>
  <si>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</si>
  <si>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</si>
  <si>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</si>
  <si>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</si>
  <si>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</si>
  <si>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</si>
  <si>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</si>
  <si>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</si>
  <si>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</si>
  <si>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</si>
  <si>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</si>
  <si>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</si>
  <si>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</si>
  <si>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</si>
  <si>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</si>
  <si>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</si>
  <si>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</si>
  <si>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</si>
  <si>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</si>
  <si>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</si>
  <si>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</si>
  <si>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</si>
  <si>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</si>
  <si>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</si>
  <si>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AMC Entertainment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</si>
</sst>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33" sqref="C3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42383</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543</v>
      </c>
      <c r="C6" s="82"/>
      <c r="D6" s="82"/>
      <c r="E6" s="82"/>
      <c r="F6" s="82"/>
      <c r="G6" s="82"/>
      <c r="H6" s="82"/>
      <c r="I6" s="82"/>
    </row>
    <row r="7" spans="1:10" s="56" customFormat="1" ht="13">
      <c r="A7" s="156" t="s">
        <v>439</v>
      </c>
      <c r="B7" s="157" t="s">
        <v>543</v>
      </c>
      <c r="C7" s="246" t="s">
        <v>397</v>
      </c>
      <c r="D7" s="246" t="s">
        <v>624</v>
      </c>
      <c r="E7" s="82"/>
      <c r="F7" s="82"/>
      <c r="G7" s="82"/>
      <c r="H7" s="82"/>
      <c r="I7" s="82"/>
    </row>
    <row r="8" spans="1:10" s="56" customFormat="1" ht="13">
      <c r="A8" s="60" t="s">
        <v>11</v>
      </c>
      <c r="B8" s="61">
        <v>5436.3</v>
      </c>
      <c r="C8" s="85">
        <v>5460.8</v>
      </c>
      <c r="D8" s="245">
        <v>0.75</v>
      </c>
    </row>
    <row r="9" spans="1:10" s="56" customFormat="1" ht="13">
      <c r="A9" s="60" t="s">
        <v>29</v>
      </c>
      <c r="B9" s="61">
        <v>224</v>
      </c>
      <c r="C9" s="85">
        <v>328</v>
      </c>
      <c r="D9" s="245">
        <v>0.75</v>
      </c>
    </row>
    <row r="10" spans="1:10" s="56" customFormat="1" ht="13">
      <c r="A10" s="60" t="s">
        <v>441</v>
      </c>
      <c r="B10" s="85">
        <v>348.5</v>
      </c>
      <c r="C10" s="85">
        <v>342.3</v>
      </c>
      <c r="D10" s="62"/>
    </row>
    <row r="11" spans="1:10" s="56" customFormat="1" ht="13">
      <c r="A11" s="60" t="s">
        <v>30</v>
      </c>
      <c r="B11" s="61">
        <v>1183</v>
      </c>
      <c r="C11" s="85">
        <v>1398</v>
      </c>
      <c r="D11" s="62"/>
    </row>
    <row r="12" spans="1:10" s="56" customFormat="1" ht="13">
      <c r="A12" s="60" t="s">
        <v>31</v>
      </c>
      <c r="B12" s="61">
        <v>4710</v>
      </c>
      <c r="C12" s="85">
        <v>4713</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100.4</v>
      </c>
      <c r="C15" s="85">
        <v>313</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9.1999999999999993</v>
      </c>
      <c r="C18" s="358"/>
      <c r="D18" s="62"/>
    </row>
    <row r="19" spans="1:11" s="56" customFormat="1" ht="14" thickBot="1">
      <c r="A19" s="60" t="s">
        <v>32</v>
      </c>
      <c r="B19" s="158">
        <v>52.1</v>
      </c>
      <c r="C19" s="62"/>
    </row>
    <row r="20" spans="1:11" s="56" customFormat="1" ht="13">
      <c r="A20" s="60" t="s">
        <v>33</v>
      </c>
      <c r="B20" s="61">
        <v>6.85</v>
      </c>
      <c r="C20" s="62"/>
      <c r="E20" s="86" t="s">
        <v>245</v>
      </c>
      <c r="F20" s="54"/>
      <c r="G20" s="54"/>
      <c r="H20" s="54"/>
      <c r="I20" s="54"/>
      <c r="J20" s="54"/>
      <c r="K20" s="55"/>
    </row>
    <row r="21" spans="1:11" s="56" customFormat="1" ht="13">
      <c r="A21" s="63" t="s">
        <v>106</v>
      </c>
      <c r="B21" s="64">
        <v>0.23899999999999999</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-5.9775519424137835E-3</v>
      </c>
      <c r="J23" s="259">
        <f>VLOOKUP(B6,'Industry Average Beta (US)'!A2:S95,3)</f>
        <v>9.1102142857142868E-2</v>
      </c>
      <c r="K23" s="260">
        <f>VLOOKUP(B7,'Industry Average Beta (Global)'!A2:N95,3)</f>
        <v>0.12249732522796361</v>
      </c>
    </row>
    <row r="24" spans="1:11" s="56" customFormat="1" ht="13">
      <c r="A24" s="60" t="s">
        <v>49</v>
      </c>
      <c r="B24" s="67">
        <v>3.2000000000000001E-2</v>
      </c>
      <c r="C24" s="62" t="s">
        <v>611</v>
      </c>
      <c r="E24" s="87" t="s">
        <v>177</v>
      </c>
      <c r="F24" s="82"/>
      <c r="G24" s="82"/>
      <c r="H24" s="82"/>
      <c r="I24" s="259">
        <f>'Valuation output'!B4</f>
        <v>4.120449570479922E-2</v>
      </c>
      <c r="J24" s="260">
        <f>VLOOKUP(B6,'Industry Average Beta (US)'!A2:S95,4)</f>
        <v>0.17963823608966931</v>
      </c>
      <c r="K24" s="260">
        <f>VLOOKUP(B7,'Industry Average Beta (Global)'!A2:N95,4)</f>
        <v>0.14494897958079192</v>
      </c>
    </row>
    <row r="25" spans="1:11" s="56" customFormat="1" ht="13">
      <c r="A25" s="60" t="s">
        <v>51</v>
      </c>
      <c r="B25" s="67">
        <v>8.5000000000000006E-2</v>
      </c>
      <c r="C25" s="62" t="s">
        <v>609</v>
      </c>
      <c r="E25" s="87" t="s">
        <v>178</v>
      </c>
      <c r="F25" s="82"/>
      <c r="G25" s="82"/>
      <c r="H25" s="82"/>
      <c r="I25" s="261">
        <v>1.5</v>
      </c>
      <c r="J25" s="261">
        <f>VLOOKUP(B6,'Industry Average Beta (US)'!A2:S95,14)</f>
        <v>1.5252077336234631</v>
      </c>
      <c r="K25" s="261">
        <f>VLOOKUP(B7,'Industry Average Beta (Global)'!A2:N95,14)</f>
        <v>1.3186758318746605</v>
      </c>
    </row>
    <row r="26" spans="1:11" s="56" customFormat="1" ht="13">
      <c r="A26" s="60" t="s">
        <v>685</v>
      </c>
      <c r="B26" s="68">
        <v>2</v>
      </c>
      <c r="C26" s="62" t="s">
        <v>686</v>
      </c>
      <c r="E26" s="87" t="s">
        <v>179</v>
      </c>
      <c r="F26" s="82"/>
      <c r="G26" s="82"/>
      <c r="H26" s="82"/>
      <c r="I26" s="260">
        <f>'Valuation output'!B7/'Valuation output'!B39</f>
        <v>2.9427890757172944E-2</v>
      </c>
      <c r="J26" s="260">
        <f>VLOOKUP(B6,'Industry Average Beta (US)'!A2:S95,5)</f>
        <v>0.26852187124101534</v>
      </c>
      <c r="K26" s="260">
        <f>VLOOKUP(B7,'Industry Average Beta (Global)'!A2:N95,5)</f>
        <v>0.1727104387042937</v>
      </c>
    </row>
    <row r="27" spans="1:11" s="56" customFormat="1" ht="13">
      <c r="A27" s="60" t="s">
        <v>37</v>
      </c>
      <c r="B27" s="68">
        <f>I25</f>
        <v>1.5</v>
      </c>
      <c r="C27" s="62" t="s">
        <v>610</v>
      </c>
      <c r="E27" s="87" t="s">
        <v>386</v>
      </c>
      <c r="F27" s="82"/>
      <c r="G27" s="82"/>
      <c r="H27" s="82"/>
      <c r="I27" s="168"/>
      <c r="J27" s="262">
        <f>VLOOKUP(B6,'Industry Average Beta (US)'!A2:S95,10)</f>
        <v>0.54337168001581271</v>
      </c>
      <c r="K27" s="260">
        <f>VLOOKUP(B6,'Industry Average Beta (Global)'!A2:Z95,10)</f>
        <v>0.50216721641007167</v>
      </c>
    </row>
    <row r="28" spans="1:11" s="56" customFormat="1" ht="14" thickBot="1">
      <c r="A28" s="65" t="s">
        <v>36</v>
      </c>
      <c r="B28" s="69"/>
      <c r="C28" s="62"/>
      <c r="E28" s="58" t="s">
        <v>385</v>
      </c>
      <c r="F28" s="59"/>
      <c r="G28" s="59"/>
      <c r="H28" s="59"/>
      <c r="I28" s="59"/>
      <c r="J28" s="263">
        <f>VLOOKUP(B6,'Industry Average Beta (US)'!A2:S95,13)</f>
        <v>9.417252854796343E-2</v>
      </c>
      <c r="K28" s="260">
        <f>VLOOKUP(B6,'Industry Average Beta (Global)'!A2:Z95,13)</f>
        <v>0.11128949284133299</v>
      </c>
    </row>
    <row r="29" spans="1:11" s="56" customFormat="1" ht="14" thickBot="1">
      <c r="A29" s="60" t="s">
        <v>27</v>
      </c>
      <c r="B29" s="67">
        <v>1.67E-2</v>
      </c>
      <c r="C29" s="62"/>
    </row>
    <row r="30" spans="1:11" s="56" customFormat="1" ht="13">
      <c r="A30" s="60" t="s">
        <v>39</v>
      </c>
      <c r="B30" s="159">
        <f>'Cost of capital worksheet'!E50</f>
        <v>9.8939372947556795E-2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7242.2138870445369</v>
      </c>
    </row>
    <row r="32" spans="1:11" s="56" customFormat="1" ht="13">
      <c r="A32" s="63" t="s">
        <v>248</v>
      </c>
      <c r="B32" s="159" t="s">
        <v>53</v>
      </c>
      <c r="C32"/>
      <c r="D32" s="62"/>
      <c r="E32" s="247" t="s">
        <v>615</v>
      </c>
      <c r="F32" s="63"/>
      <c r="G32" s="63"/>
      <c r="H32" s="63"/>
      <c r="I32" s="63"/>
      <c r="J32" s="258">
        <f>'Valuation output'!M5</f>
        <v>615.58818039878565</v>
      </c>
    </row>
    <row r="33" spans="1:14" s="56" customFormat="1" ht="13">
      <c r="A33" s="63" t="s">
        <v>92</v>
      </c>
      <c r="B33" s="68">
        <v>23.5</v>
      </c>
      <c r="C33" s="257"/>
      <c r="D33" s="62"/>
      <c r="E33" s="247" t="s">
        <v>614</v>
      </c>
      <c r="F33" s="63"/>
      <c r="G33" s="63"/>
      <c r="H33" s="63"/>
      <c r="I33" s="63"/>
      <c r="J33" s="259">
        <f>'Valuation output'!L40</f>
        <v>6.5648688706479635E-2</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224</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348.5</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0.642754662840746</v>
      </c>
      <c r="E9" s="8"/>
      <c r="F9" s="114"/>
      <c r="G9" s="8"/>
      <c r="H9" s="8"/>
      <c r="I9" s="8"/>
      <c r="J9" s="8"/>
    </row>
    <row r="10" spans="1:10" s="131" customFormat="1" ht="15" thickBot="1">
      <c r="A10" s="8" t="s">
        <v>223</v>
      </c>
      <c r="D10" s="141" t="str">
        <f>IF(C4=1,VLOOKUP(D9,A19:D33,3),(IF(C4=2,VLOOKUP(D9,A38:D52,3),VLOOKUP(D9,F19:I33,3))))</f>
        <v>Caa/CCC</v>
      </c>
      <c r="F10" s="16" t="s">
        <v>224</v>
      </c>
    </row>
    <row r="11" spans="1:10" s="131" customFormat="1" ht="15" thickBot="1">
      <c r="A11" s="8" t="s">
        <v>475</v>
      </c>
      <c r="D11" s="142">
        <f>IF(C4=1,VLOOKUP(D9,A19:D33,4),(IF(C4=2,VLOOKUP(D9,A38:D52,4),VLOOKUP(D9,F19:I33,4))))</f>
        <v>0.14538461538461536</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0.16208461538461535</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7" zoomScale="125" zoomScaleNormal="125" workbookViewId="0">
      <selection activeCell="D21" sqref="D21"/>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3.2000000000000001E-2</v>
      </c>
      <c r="D2" s="90">
        <f>C2</f>
        <v>3.2000000000000001E-2</v>
      </c>
      <c r="E2" s="90">
        <f>D2</f>
        <v>3.2000000000000001E-2</v>
      </c>
      <c r="F2" s="90">
        <f>E2</f>
        <v>3.2000000000000001E-2</v>
      </c>
      <c r="G2" s="90">
        <f>F2</f>
        <v>3.2000000000000001E-2</v>
      </c>
      <c r="H2" s="90">
        <f>G2-((G2-$M$2)/5)</f>
        <v>2.894E-2</v>
      </c>
      <c r="I2" s="90">
        <f>G2-((G2-$M$2)/5)*2</f>
        <v>2.588E-2</v>
      </c>
      <c r="J2" s="90">
        <f>G2-((G2-$M$2)/5)*3</f>
        <v>2.282E-2</v>
      </c>
      <c r="K2" s="90">
        <f>G2-((G2-$M$2)/5)*4</f>
        <v>1.976E-2</v>
      </c>
      <c r="L2" s="90">
        <f>G2-((G2-$M$2)/5)*5</f>
        <v>1.67E-2</v>
      </c>
      <c r="M2" s="91">
        <f>IF('Input sheet'!B56="Yes",'Input sheet'!B57,'Input sheet'!B29)</f>
        <v>1.67E-2</v>
      </c>
    </row>
    <row r="3" spans="1:14" ht="15" customHeight="1">
      <c r="A3" s="45" t="s">
        <v>11</v>
      </c>
      <c r="B3" s="92">
        <f>'Input sheet'!B8</f>
        <v>5436.3</v>
      </c>
      <c r="C3" s="93">
        <f>B3*(1+C2)</f>
        <v>5610.2616000000007</v>
      </c>
      <c r="D3" s="93">
        <f t="shared" ref="D3:L3" si="0">C3*(1+D2)</f>
        <v>5789.7899712000008</v>
      </c>
      <c r="E3" s="93">
        <f t="shared" si="0"/>
        <v>5975.063250278401</v>
      </c>
      <c r="F3" s="93">
        <f t="shared" si="0"/>
        <v>6166.2652742873097</v>
      </c>
      <c r="G3" s="93">
        <f t="shared" si="0"/>
        <v>6363.5857630645041</v>
      </c>
      <c r="H3" s="93">
        <f t="shared" si="0"/>
        <v>6547.7479350475905</v>
      </c>
      <c r="I3" s="93">
        <f t="shared" si="0"/>
        <v>6717.2036516066219</v>
      </c>
      <c r="J3" s="93">
        <f t="shared" si="0"/>
        <v>6870.4902389362851</v>
      </c>
      <c r="K3" s="93">
        <f t="shared" si="0"/>
        <v>7006.2511260576657</v>
      </c>
      <c r="L3" s="93">
        <f t="shared" si="0"/>
        <v>7123.2555198628279</v>
      </c>
      <c r="M3" s="109">
        <f>L3*(1+M2)</f>
        <v>7242.2138870445369</v>
      </c>
    </row>
    <row r="4" spans="1:14" ht="15" customHeight="1">
      <c r="A4" s="45" t="s">
        <v>26</v>
      </c>
      <c r="B4" s="94">
        <f>B5/B3</f>
        <v>4.120449570479922E-2</v>
      </c>
      <c r="C4" s="90">
        <f>IF(C1&gt;'Input sheet'!$B$26,'Input sheet'!$B$25,'Input sheet'!$B$25-(('Input sheet'!$B$25-$B$4)/'Input sheet'!$B$26)*('Input sheet'!$B$26-C1))</f>
        <v>6.3102247852399609E-2</v>
      </c>
      <c r="D4" s="90">
        <f>IF(D1&gt;'Input sheet'!$B$26,'Input sheet'!$B$25,'Input sheet'!$B$25-(('Input sheet'!$B$25-$B$4)/'Input sheet'!$B$26)*('Input sheet'!$B$26-D1))</f>
        <v>8.5000000000000006E-2</v>
      </c>
      <c r="E4" s="90">
        <f>IF(E1&gt;'Input sheet'!$B$26,'Input sheet'!$B$25,'Input sheet'!$B$25-(('Input sheet'!$B$25-$B$4)/'Input sheet'!$B$26)*('Input sheet'!$B$26-E1))</f>
        <v>8.5000000000000006E-2</v>
      </c>
      <c r="F4" s="90">
        <f>IF(F1&gt;'Input sheet'!$B$26,'Input sheet'!$B$25,'Input sheet'!$B$25-(('Input sheet'!$B$25-$B$4)/'Input sheet'!$B$26)*('Input sheet'!$B$26-F1))</f>
        <v>8.5000000000000006E-2</v>
      </c>
      <c r="G4" s="90">
        <f>IF(G1&gt;'Input sheet'!$B$26,'Input sheet'!$B$25,'Input sheet'!$B$25-(('Input sheet'!$B$25-$B$4)/'Input sheet'!$B$26)*('Input sheet'!$B$26-G1))</f>
        <v>8.5000000000000006E-2</v>
      </c>
      <c r="H4" s="90">
        <f>IF(H1&gt;'Input sheet'!$B$26,'Input sheet'!$B$25,'Input sheet'!$B$25-(('Input sheet'!$B$25-$B$4)/'Input sheet'!$B$26)*('Input sheet'!$B$26-H1))</f>
        <v>8.5000000000000006E-2</v>
      </c>
      <c r="I4" s="90">
        <f>IF(I1&gt;'Input sheet'!$B$26,'Input sheet'!$B$25,'Input sheet'!$B$25-(('Input sheet'!$B$25-$B$4)/'Input sheet'!$B$26)*('Input sheet'!$B$26-I1))</f>
        <v>8.5000000000000006E-2</v>
      </c>
      <c r="J4" s="90">
        <f>IF(J1&gt;'Input sheet'!$B$26,'Input sheet'!$B$25,'Input sheet'!$B$25-(('Input sheet'!$B$25-$B$4)/'Input sheet'!$B$26)*('Input sheet'!$B$26-J1))</f>
        <v>8.5000000000000006E-2</v>
      </c>
      <c r="K4" s="90">
        <f>IF(K1&gt;'Input sheet'!$B$26,'Input sheet'!$B$25,'Input sheet'!$B$25-(('Input sheet'!$B$25-$B$4)/'Input sheet'!$B$26)*('Input sheet'!$B$26-K1))</f>
        <v>8.5000000000000006E-2</v>
      </c>
      <c r="L4" s="90">
        <f>IF(L1&gt;'Input sheet'!$B$26,'Input sheet'!$B$25,'Input sheet'!$B$25-(('Input sheet'!$B$25-$B$4)/'Input sheet'!$B$26)*('Input sheet'!$B$26-L1))</f>
        <v>8.5000000000000006E-2</v>
      </c>
      <c r="M4" s="91">
        <f>L4</f>
        <v>8.5000000000000006E-2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224</v>
      </c>
      <c r="C5" s="93">
        <f t="shared" ref="C5:M5" si="1">C4*C3</f>
        <v>354.02011800000002</v>
      </c>
      <c r="D5" s="93">
        <f t="shared" si="1"/>
        <v>492.13214755200011</v>
      </c>
      <c r="E5" s="93">
        <f t="shared" si="1"/>
        <v>507.88037627366413</v>
      </c>
      <c r="F5" s="93">
        <f t="shared" si="1"/>
        <v>524.13254831442134</v>
      </c>
      <c r="G5" s="93">
        <f t="shared" si="1"/>
        <v>540.90478986048288</v>
      </c>
      <c r="H5" s="93">
        <f t="shared" si="1"/>
        <v>556.55857447904521</v>
      </c>
      <c r="I5" s="93">
        <f t="shared" si="1"/>
        <v>570.96231038656288</v>
      </c>
      <c r="J5" s="93">
        <f t="shared" si="1"/>
        <v>583.99167030958426</v>
      </c>
      <c r="K5" s="93">
        <f t="shared" si="1"/>
        <v>595.53134571490159</v>
      </c>
      <c r="L5" s="93">
        <f t="shared" si="1"/>
        <v>605.47671918834044</v>
      </c>
      <c r="M5" s="109">
        <f t="shared" si="1"/>
        <v>615.58818039878565</v>
      </c>
      <c r="N5" s="111">
        <f>M5-B5</f>
        <v>391.58818039878565</v>
      </c>
    </row>
    <row r="6" spans="1:14" ht="15" customHeight="1">
      <c r="A6" s="45" t="s">
        <v>142</v>
      </c>
      <c r="B6" s="95">
        <f>'Input sheet'!B21</f>
        <v>0.23899999999999999</v>
      </c>
      <c r="C6" s="96">
        <f>B6</f>
        <v>0.23899999999999999</v>
      </c>
      <c r="D6" s="96">
        <f>C6</f>
        <v>0.23899999999999999</v>
      </c>
      <c r="E6" s="96">
        <f>D6</f>
        <v>0.23899999999999999</v>
      </c>
      <c r="F6" s="96">
        <f>E6</f>
        <v>0.23899999999999999</v>
      </c>
      <c r="G6" s="96">
        <f>F6</f>
        <v>0.23899999999999999</v>
      </c>
      <c r="H6" s="96">
        <f>G6+($M$6-$G$6)/5</f>
        <v>0.2412</v>
      </c>
      <c r="I6" s="96">
        <f>H6+($M$6-$G$6)/5</f>
        <v>0.24340000000000001</v>
      </c>
      <c r="J6" s="96">
        <f>I6+($M$6-$G$6)/5</f>
        <v>0.24560000000000001</v>
      </c>
      <c r="K6" s="96">
        <f>J6+($M$6-$G$6)/5</f>
        <v>0.24780000000000002</v>
      </c>
      <c r="L6" s="96">
        <f>K6+($M$6-$G$6)/5</f>
        <v>0.25</v>
      </c>
      <c r="M6" s="96">
        <f>IF('Input sheet'!B51="Yes",'Input sheet'!B21,'Input sheet'!B22)</f>
        <v>0.25</v>
      </c>
    </row>
    <row r="7" spans="1:14" ht="15" customHeight="1">
      <c r="A7" s="45" t="s">
        <v>12</v>
      </c>
      <c r="B7" s="92">
        <f>IF(B5&gt;0,B5*(1-B6),B5)</f>
        <v>170.464</v>
      </c>
      <c r="C7" s="93">
        <f>IF(C5&gt;0,IF(C5&lt;B10,C5,C5-(C5-B10)*C6),C5)</f>
        <v>269.40930979800004</v>
      </c>
      <c r="D7" s="93">
        <f t="shared" ref="D7:L7" si="2">IF(D5&gt;0,IF(D5&lt;C10,D5,D5-(D5-C10)*D6),D5)</f>
        <v>374.51256428707211</v>
      </c>
      <c r="E7" s="93">
        <f t="shared" si="2"/>
        <v>386.4969663442584</v>
      </c>
      <c r="F7" s="93">
        <f t="shared" si="2"/>
        <v>398.86486926727463</v>
      </c>
      <c r="G7" s="93">
        <f t="shared" si="2"/>
        <v>411.62854508382748</v>
      </c>
      <c r="H7" s="93">
        <f t="shared" si="2"/>
        <v>422.31664631469948</v>
      </c>
      <c r="I7" s="93">
        <f t="shared" si="2"/>
        <v>431.99008403847347</v>
      </c>
      <c r="J7" s="93">
        <f t="shared" si="2"/>
        <v>440.5633160815504</v>
      </c>
      <c r="K7" s="93">
        <f t="shared" si="2"/>
        <v>447.95867824674895</v>
      </c>
      <c r="L7" s="93">
        <f t="shared" si="2"/>
        <v>454.10753939125533</v>
      </c>
      <c r="M7" s="93">
        <f>M5*(1-M6)</f>
        <v>461.69113529908924</v>
      </c>
    </row>
    <row r="8" spans="1:14" ht="15" customHeight="1">
      <c r="A8" s="45" t="s">
        <v>15</v>
      </c>
      <c r="B8" s="92"/>
      <c r="C8" s="93">
        <f t="shared" ref="C8:L8" si="3">(C3-B3)/C38</f>
        <v>115.97440000000036</v>
      </c>
      <c r="D8" s="93">
        <f t="shared" si="3"/>
        <v>119.68558080000003</v>
      </c>
      <c r="E8" s="93">
        <f t="shared" si="3"/>
        <v>123.51551938560017</v>
      </c>
      <c r="F8" s="93">
        <f t="shared" si="3"/>
        <v>127.46801600593911</v>
      </c>
      <c r="G8" s="93">
        <f t="shared" si="3"/>
        <v>131.54699251812963</v>
      </c>
      <c r="H8" s="93">
        <f t="shared" si="3"/>
        <v>122.77478132205761</v>
      </c>
      <c r="I8" s="93">
        <f t="shared" si="3"/>
        <v>112.97047770602087</v>
      </c>
      <c r="J8" s="93">
        <f t="shared" si="3"/>
        <v>102.19105821977548</v>
      </c>
      <c r="K8" s="93">
        <f t="shared" si="3"/>
        <v>90.507258080920408</v>
      </c>
      <c r="L8" s="93">
        <f t="shared" si="3"/>
        <v>78.002929203441454</v>
      </c>
      <c r="M8" s="97">
        <f>IF(M2&gt;0,(M2/M40)*M7,0)</f>
        <v>124.96340290915384</v>
      </c>
      <c r="N8" s="111">
        <f>SUM(C8:M8)</f>
        <v>1249.6004161510391</v>
      </c>
    </row>
    <row r="9" spans="1:14" ht="15" customHeight="1">
      <c r="A9" s="45" t="s">
        <v>16</v>
      </c>
      <c r="B9" s="92"/>
      <c r="C9" s="93">
        <f t="shared" ref="C9:L9" si="4">C7-C8</f>
        <v>153.43490979799969</v>
      </c>
      <c r="D9" s="93">
        <f t="shared" si="4"/>
        <v>254.82698348707208</v>
      </c>
      <c r="E9" s="93">
        <f t="shared" si="4"/>
        <v>262.98144695865824</v>
      </c>
      <c r="F9" s="93">
        <f t="shared" si="4"/>
        <v>271.39685326133554</v>
      </c>
      <c r="G9" s="93">
        <f t="shared" si="4"/>
        <v>280.08155256569785</v>
      </c>
      <c r="H9" s="93">
        <f t="shared" si="4"/>
        <v>299.54186499264188</v>
      </c>
      <c r="I9" s="93">
        <f t="shared" si="4"/>
        <v>319.01960633245261</v>
      </c>
      <c r="J9" s="93">
        <f t="shared" si="4"/>
        <v>338.37225786177493</v>
      </c>
      <c r="K9" s="93">
        <f t="shared" si="4"/>
        <v>357.45142016582855</v>
      </c>
      <c r="L9" s="93">
        <f t="shared" si="4"/>
        <v>376.10461018781388</v>
      </c>
      <c r="M9" s="97">
        <f>M7-M8</f>
        <v>336.7277323899354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9.8939372947556795E-2</v>
      </c>
      <c r="D12" s="90">
        <f>C12</f>
        <v>9.8939372947556795E-2</v>
      </c>
      <c r="E12" s="90">
        <f>D12</f>
        <v>9.8939372947556795E-2</v>
      </c>
      <c r="F12" s="90">
        <f>E12</f>
        <v>9.8939372947556795E-2</v>
      </c>
      <c r="G12" s="90">
        <f>F12</f>
        <v>9.8939372947556795E-2</v>
      </c>
      <c r="H12" s="90">
        <f>G12-($G$12-$M$12)/5</f>
        <v>9.1491498358045431E-2</v>
      </c>
      <c r="I12" s="90">
        <f>H12-($G$12-$M$12)/5</f>
        <v>8.4043623768534068E-2</v>
      </c>
      <c r="J12" s="90">
        <f>I12-($G$12-$M$12)/5</f>
        <v>7.6595749179022704E-2</v>
      </c>
      <c r="K12" s="90">
        <f>J12-($G$12-$M$12)/5</f>
        <v>6.9147874589511341E-2</v>
      </c>
      <c r="L12" s="90">
        <f>K12-($G$12-$M$12)/5</f>
        <v>6.1699999999999984E-2</v>
      </c>
      <c r="M12" s="91">
        <f>IF('Input sheet'!B40="Yes",'Input sheet'!B41,'Input sheet'!B29+0.045)</f>
        <v>6.1699999999999998E-2</v>
      </c>
    </row>
    <row r="13" spans="1:14" ht="15" customHeight="1">
      <c r="A13" s="46" t="s">
        <v>149</v>
      </c>
      <c r="B13" s="89"/>
      <c r="C13" s="153">
        <f>1/(1+C12)</f>
        <v>0.90996830636599801</v>
      </c>
      <c r="D13" s="153">
        <f>C13*(1/(1+D12))</f>
        <v>0.82804231859060284</v>
      </c>
      <c r="E13" s="153">
        <f t="shared" ref="E13:L13" si="6">D13*(1/(1+E12))</f>
        <v>0.75349226624726506</v>
      </c>
      <c r="F13" s="153">
        <f t="shared" si="6"/>
        <v>0.68565408137690143</v>
      </c>
      <c r="G13" s="153">
        <f t="shared" si="6"/>
        <v>0.62392348318347313</v>
      </c>
      <c r="H13" s="153">
        <f t="shared" si="6"/>
        <v>0.5716246843168773</v>
      </c>
      <c r="I13" s="153">
        <f t="shared" si="6"/>
        <v>0.52730782395057119</v>
      </c>
      <c r="J13" s="153">
        <f t="shared" si="6"/>
        <v>0.48979185023968297</v>
      </c>
      <c r="K13" s="153">
        <f t="shared" si="6"/>
        <v>0.4581142252447854</v>
      </c>
      <c r="L13" s="153">
        <f t="shared" si="6"/>
        <v>0.4314912171468262</v>
      </c>
      <c r="M13" s="98"/>
    </row>
    <row r="14" spans="1:14" ht="15" customHeight="1">
      <c r="A14" s="46" t="s">
        <v>21</v>
      </c>
      <c r="B14" s="89"/>
      <c r="C14" s="93">
        <f t="shared" ref="C14:L14" si="7">C9*C13</f>
        <v>139.62090500630546</v>
      </c>
      <c r="D14" s="93">
        <f t="shared" si="7"/>
        <v>211.00752624608444</v>
      </c>
      <c r="E14" s="93">
        <f t="shared" si="7"/>
        <v>198.15448644986432</v>
      </c>
      <c r="F14" s="93">
        <f t="shared" si="7"/>
        <v>186.08436011148274</v>
      </c>
      <c r="G14" s="93">
        <f t="shared" si="7"/>
        <v>174.74945785222522</v>
      </c>
      <c r="H14" s="93">
        <f t="shared" si="7"/>
        <v>171.22552401610758</v>
      </c>
      <c r="I14" s="93">
        <f t="shared" si="7"/>
        <v>168.22153441273343</v>
      </c>
      <c r="J14" s="93">
        <f t="shared" si="7"/>
        <v>165.73197424789785</v>
      </c>
      <c r="K14" s="93">
        <f t="shared" si="7"/>
        <v>163.7535804119168</v>
      </c>
      <c r="L14" s="93">
        <f t="shared" si="7"/>
        <v>162.28583602447242</v>
      </c>
      <c r="M14" s="98"/>
    </row>
    <row r="15" spans="1:14" ht="15" customHeight="1">
      <c r="A15" s="46"/>
      <c r="B15" s="45"/>
      <c r="C15" s="51"/>
      <c r="D15" s="51"/>
      <c r="E15" s="51"/>
      <c r="F15" s="51"/>
      <c r="G15" s="51"/>
      <c r="H15" s="51"/>
      <c r="I15" s="51"/>
      <c r="J15" s="51"/>
      <c r="K15" s="51"/>
      <c r="L15" s="51"/>
    </row>
    <row r="16" spans="1:14" ht="15" customHeight="1">
      <c r="A16" s="48" t="s">
        <v>22</v>
      </c>
      <c r="B16" s="92">
        <f>M9</f>
        <v>336.7277323899354</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7482.8384975541203</v>
      </c>
      <c r="C18" s="51"/>
      <c r="D18" s="154"/>
      <c r="E18" s="51"/>
      <c r="F18" s="51"/>
      <c r="G18" s="51"/>
      <c r="H18" s="51"/>
      <c r="I18" s="51"/>
      <c r="J18" s="51"/>
      <c r="K18" s="51"/>
      <c r="L18" s="51"/>
    </row>
    <row r="19" spans="1:12">
      <c r="A19" s="48" t="s">
        <v>24</v>
      </c>
      <c r="B19" s="99">
        <f>B18*L13</f>
        <v>3228.7790910227554</v>
      </c>
      <c r="C19" s="51"/>
      <c r="D19" s="51"/>
      <c r="E19" s="51"/>
      <c r="F19" s="51"/>
      <c r="G19" s="51"/>
      <c r="H19" s="51"/>
      <c r="I19" s="51"/>
      <c r="J19" s="51"/>
      <c r="K19" s="51"/>
      <c r="L19" s="51"/>
    </row>
    <row r="20" spans="1:12">
      <c r="A20" s="48" t="s">
        <v>46</v>
      </c>
      <c r="B20" s="99">
        <f>SUM(C14:L14)</f>
        <v>1740.8351847790902</v>
      </c>
      <c r="C20" s="51"/>
      <c r="D20" s="51"/>
      <c r="E20" s="51"/>
      <c r="F20" s="51"/>
      <c r="G20" s="51"/>
      <c r="H20" s="51"/>
      <c r="I20" s="51"/>
      <c r="J20" s="51"/>
      <c r="K20" s="51"/>
      <c r="L20" s="51"/>
    </row>
    <row r="21" spans="1:12">
      <c r="A21" s="48" t="s">
        <v>47</v>
      </c>
      <c r="B21" s="99">
        <f>B19+B20</f>
        <v>4969.6142758018459</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2484.807137900923</v>
      </c>
      <c r="C23" s="51"/>
      <c r="D23" s="51"/>
      <c r="E23" s="51"/>
      <c r="F23" s="51"/>
      <c r="G23" s="51"/>
      <c r="H23" s="51"/>
      <c r="I23" s="51"/>
      <c r="J23" s="51"/>
      <c r="K23" s="51"/>
      <c r="L23" s="51"/>
    </row>
    <row r="24" spans="1:12">
      <c r="A24" s="48" t="s">
        <v>44</v>
      </c>
      <c r="B24" s="92">
        <f>B21*(1-B22)+B23*B22</f>
        <v>4969.6142758018459</v>
      </c>
      <c r="C24" s="51"/>
      <c r="D24" s="51"/>
      <c r="E24" s="51"/>
      <c r="F24" s="51"/>
      <c r="G24" s="51"/>
      <c r="H24" s="51"/>
      <c r="I24" s="51"/>
      <c r="J24" s="51"/>
      <c r="K24" s="51"/>
      <c r="L24" s="51"/>
    </row>
    <row r="25" spans="1:12">
      <c r="A25" s="48" t="s">
        <v>392</v>
      </c>
      <c r="B25" s="92">
        <f>IF('Input sheet'!B14="Yes",'Input sheet'!B12+'Operating lease converter'!C28,'Input sheet'!B12)+'Input sheet'!B18</f>
        <v>4719.2</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100.4</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350.81427580184607</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350.81427580184607</v>
      </c>
      <c r="C31" s="51"/>
      <c r="D31" s="51"/>
      <c r="E31" s="51"/>
      <c r="F31" s="51"/>
      <c r="G31" s="51"/>
      <c r="H31" s="51"/>
      <c r="I31" s="51"/>
      <c r="J31" s="51"/>
      <c r="K31" s="51"/>
      <c r="L31" s="51"/>
    </row>
    <row r="32" spans="1:12">
      <c r="A32" s="48" t="s">
        <v>13</v>
      </c>
      <c r="B32" s="103">
        <f>'Input sheet'!B19</f>
        <v>52.1</v>
      </c>
      <c r="C32" s="51"/>
      <c r="D32" s="51"/>
      <c r="E32" s="51"/>
      <c r="F32" s="51"/>
      <c r="G32" s="51"/>
      <c r="H32" s="51"/>
      <c r="I32" s="51"/>
      <c r="J32" s="51"/>
      <c r="K32" s="51"/>
      <c r="L32" s="51"/>
    </row>
    <row r="33" spans="1:13">
      <c r="A33" s="48" t="s">
        <v>96</v>
      </c>
      <c r="B33" s="104">
        <f>B31/B32</f>
        <v>6.7334793819932068</v>
      </c>
      <c r="C33" s="51"/>
      <c r="D33" s="51"/>
      <c r="E33" s="51"/>
      <c r="F33" s="51"/>
      <c r="G33" s="51"/>
      <c r="H33" s="51"/>
      <c r="I33" s="51"/>
      <c r="J33" s="51"/>
      <c r="K33" s="51"/>
      <c r="L33" s="51"/>
    </row>
    <row r="34" spans="1:13">
      <c r="A34" s="48" t="s">
        <v>103</v>
      </c>
      <c r="B34" s="105">
        <f>'Input sheet'!B20</f>
        <v>6.85</v>
      </c>
      <c r="C34" s="51"/>
      <c r="D34" s="51"/>
      <c r="E34" s="51"/>
      <c r="F34" s="51"/>
      <c r="G34" s="51"/>
      <c r="H34" s="51"/>
      <c r="I34" s="51"/>
      <c r="J34" s="51"/>
      <c r="K34" s="51"/>
      <c r="L34" s="51"/>
    </row>
    <row r="35" spans="1:13">
      <c r="A35" s="48" t="s">
        <v>52</v>
      </c>
      <c r="B35" s="95">
        <f>B34/B33</f>
        <v>1.0173046669331749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1.5</v>
      </c>
      <c r="D38" s="106">
        <f>C38</f>
        <v>1.5</v>
      </c>
      <c r="E38" s="106">
        <f t="shared" ref="E38:L38" si="8">D38</f>
        <v>1.5</v>
      </c>
      <c r="F38" s="106">
        <f t="shared" si="8"/>
        <v>1.5</v>
      </c>
      <c r="G38" s="106">
        <f t="shared" si="8"/>
        <v>1.5</v>
      </c>
      <c r="H38" s="106">
        <f t="shared" si="8"/>
        <v>1.5</v>
      </c>
      <c r="I38" s="106">
        <f t="shared" si="8"/>
        <v>1.5</v>
      </c>
      <c r="J38" s="106">
        <f t="shared" si="8"/>
        <v>1.5</v>
      </c>
      <c r="K38" s="106">
        <f t="shared" si="8"/>
        <v>1.5</v>
      </c>
      <c r="L38" s="106">
        <f t="shared" si="8"/>
        <v>1.5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5792.6</v>
      </c>
      <c r="C39" s="108">
        <f t="shared" ref="C39:L39" si="9">B39+C8</f>
        <v>5908.5744000000004</v>
      </c>
      <c r="D39" s="108">
        <f t="shared" si="9"/>
        <v>6028.2599808000004</v>
      </c>
      <c r="E39" s="108">
        <f t="shared" si="9"/>
        <v>6151.7755001856003</v>
      </c>
      <c r="F39" s="108">
        <f t="shared" si="9"/>
        <v>6279.2435161915391</v>
      </c>
      <c r="G39" s="108">
        <f t="shared" si="9"/>
        <v>6410.7905087096688</v>
      </c>
      <c r="H39" s="108">
        <f t="shared" si="9"/>
        <v>6533.5652900317264</v>
      </c>
      <c r="I39" s="108">
        <f t="shared" si="9"/>
        <v>6646.5357677377469</v>
      </c>
      <c r="J39" s="108">
        <f t="shared" si="9"/>
        <v>6748.7268259575221</v>
      </c>
      <c r="K39" s="108">
        <f t="shared" si="9"/>
        <v>6839.2340840384422</v>
      </c>
      <c r="L39" s="108">
        <f t="shared" si="9"/>
        <v>6917.2370132418837</v>
      </c>
      <c r="M39" s="98"/>
    </row>
    <row r="40" spans="1:13">
      <c r="A40" s="44" t="s">
        <v>19</v>
      </c>
      <c r="B40" s="94">
        <f t="shared" ref="B40:L40" si="10">B7/B39</f>
        <v>2.9427890757172944E-2</v>
      </c>
      <c r="C40" s="90">
        <f t="shared" si="10"/>
        <v>4.5596330275201415E-2</v>
      </c>
      <c r="D40" s="90">
        <f t="shared" si="10"/>
        <v>6.2126146762066348E-2</v>
      </c>
      <c r="E40" s="90">
        <f t="shared" si="10"/>
        <v>6.2826897101917606E-2</v>
      </c>
      <c r="F40" s="90">
        <f t="shared" si="10"/>
        <v>6.3521165923692752E-2</v>
      </c>
      <c r="G40" s="90">
        <f t="shared" si="10"/>
        <v>6.4208703205102538E-2</v>
      </c>
      <c r="H40" s="90">
        <f t="shared" si="10"/>
        <v>6.4638008126899543E-2</v>
      </c>
      <c r="I40" s="90">
        <f t="shared" si="10"/>
        <v>6.4994773086959265E-2</v>
      </c>
      <c r="J40" s="90">
        <f t="shared" si="10"/>
        <v>6.5280952606796686E-2</v>
      </c>
      <c r="K40" s="90">
        <f t="shared" si="10"/>
        <v>6.5498369077935922E-2</v>
      </c>
      <c r="L40" s="110">
        <f t="shared" si="10"/>
        <v>6.5648688706479635E-2</v>
      </c>
      <c r="M40" s="90">
        <f>IF('Input sheet'!B43="Yes",'Input sheet'!B44,'Valuation output'!L12)</f>
        <v>6.1699999999999984E-2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AMC Entertainment</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5436.3</v>
      </c>
      <c r="C9" s="275">
        <f>'Input sheet'!B24</f>
        <v>3.2000000000000001E-2</v>
      </c>
      <c r="D9" s="275">
        <f>F9</f>
        <v>1.67E-2</v>
      </c>
      <c r="E9" s="276"/>
      <c r="F9" s="275">
        <f>'Valuation output'!M2</f>
        <v>1.67E-2</v>
      </c>
      <c r="G9" s="299" t="s">
        <v>757</v>
      </c>
      <c r="H9" s="391" t="s">
        <v>655</v>
      </c>
      <c r="I9" s="392"/>
      <c r="J9" s="392"/>
      <c r="K9" s="393"/>
    </row>
    <row r="10" spans="1:11">
      <c r="A10" s="273" t="s">
        <v>642</v>
      </c>
      <c r="B10" s="275">
        <f>'Valuation output'!B4</f>
        <v>4.120449570479922E-2</v>
      </c>
      <c r="C10" s="277">
        <f>B10</f>
        <v>4.120449570479922E-2</v>
      </c>
      <c r="D10" s="278">
        <f>F10</f>
        <v>8.5000000000000006E-2</v>
      </c>
      <c r="E10" s="278"/>
      <c r="F10" s="275">
        <f>'Valuation output'!M4</f>
        <v>8.5000000000000006E-2</v>
      </c>
      <c r="G10" s="304" t="s">
        <v>758</v>
      </c>
      <c r="H10" s="394"/>
      <c r="I10" s="395"/>
      <c r="J10" s="395"/>
      <c r="K10" s="396"/>
    </row>
    <row r="11" spans="1:11">
      <c r="A11" s="273" t="s">
        <v>142</v>
      </c>
      <c r="B11" s="275">
        <f>'Valuation output'!B6</f>
        <v>0.23899999999999999</v>
      </c>
      <c r="C11" s="277">
        <f>B11</f>
        <v>0.23899999999999999</v>
      </c>
      <c r="D11" s="278">
        <f>F11</f>
        <v>0.25</v>
      </c>
      <c r="E11" s="278"/>
      <c r="F11" s="275">
        <f>'Valuation output'!M6</f>
        <v>0.25</v>
      </c>
      <c r="G11" s="304" t="s">
        <v>759</v>
      </c>
      <c r="H11" s="394"/>
      <c r="I11" s="395"/>
      <c r="J11" s="395"/>
      <c r="K11" s="396"/>
    </row>
    <row r="12" spans="1:11">
      <c r="A12" s="273" t="s">
        <v>643</v>
      </c>
      <c r="B12" s="276"/>
      <c r="C12" s="279" t="s">
        <v>647</v>
      </c>
      <c r="D12" s="280">
        <f>'Input sheet'!B27</f>
        <v>1.5</v>
      </c>
      <c r="E12" s="281" t="s">
        <v>659</v>
      </c>
      <c r="F12" s="282">
        <f>'Valuation output'!M2/'Valuation output'!M40</f>
        <v>0.27066450567260947</v>
      </c>
      <c r="G12" s="304" t="s">
        <v>760</v>
      </c>
      <c r="H12" s="394"/>
      <c r="I12" s="395"/>
      <c r="J12" s="395"/>
      <c r="K12" s="396"/>
    </row>
    <row r="13" spans="1:11">
      <c r="A13" s="306" t="s">
        <v>657</v>
      </c>
      <c r="B13" s="310">
        <f>'Valuation output'!B40</f>
        <v>2.9427890757172944E-2</v>
      </c>
      <c r="C13" s="313" t="s">
        <v>658</v>
      </c>
      <c r="D13" s="314">
        <f>Diagnostics!B6</f>
        <v>0.33919986155239018</v>
      </c>
      <c r="E13" s="307"/>
      <c r="F13" s="308">
        <f>'Valuation output'!M40</f>
        <v>6.1699999999999984E-2</v>
      </c>
      <c r="G13" s="309" t="s">
        <v>761</v>
      </c>
      <c r="H13" s="394"/>
      <c r="I13" s="395"/>
      <c r="J13" s="395"/>
      <c r="K13" s="396"/>
    </row>
    <row r="14" spans="1:11" ht="17" thickBot="1">
      <c r="A14" s="283" t="s">
        <v>644</v>
      </c>
      <c r="B14" s="311"/>
      <c r="C14" s="277">
        <f>'Valuation output'!C12</f>
        <v>9.8939372947556795E-2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5610.2616000000007</v>
      </c>
      <c r="C17" s="287">
        <f>'Valuation output'!C4</f>
        <v>6.3102247852399609E-2</v>
      </c>
      <c r="D17" s="274">
        <f>B17*C17</f>
        <v>354.02011800000002</v>
      </c>
      <c r="E17" s="286">
        <f>'Valuation output'!C7</f>
        <v>269.40930979800004</v>
      </c>
      <c r="F17" s="286">
        <f>'Valuation output'!C8</f>
        <v>115.97440000000036</v>
      </c>
      <c r="G17" s="317">
        <f>E17-F17</f>
        <v>153.43490979799969</v>
      </c>
      <c r="H17" s="403"/>
      <c r="I17" s="404"/>
      <c r="J17" s="404"/>
      <c r="K17" s="405"/>
    </row>
    <row r="18" spans="1:11">
      <c r="A18" s="285">
        <v>2</v>
      </c>
      <c r="B18" s="286">
        <f>'Valuation output'!D3</f>
        <v>5789.7899712000008</v>
      </c>
      <c r="C18" s="287">
        <f>'Valuation output'!D4</f>
        <v>8.5000000000000006E-2</v>
      </c>
      <c r="D18" s="274">
        <f t="shared" ref="D18:D27" si="0">B18*C18</f>
        <v>492.13214755200011</v>
      </c>
      <c r="E18" s="286">
        <f>'Valuation output'!D7</f>
        <v>374.51256428707211</v>
      </c>
      <c r="F18" s="286">
        <f>'Valuation output'!D8</f>
        <v>119.68558080000003</v>
      </c>
      <c r="G18" s="317">
        <f t="shared" ref="G18:G27" si="1">E18-F18</f>
        <v>254.82698348707208</v>
      </c>
      <c r="H18" s="403"/>
      <c r="I18" s="404"/>
      <c r="J18" s="404"/>
      <c r="K18" s="405"/>
    </row>
    <row r="19" spans="1:11">
      <c r="A19" s="285">
        <v>3</v>
      </c>
      <c r="B19" s="286">
        <f>'Valuation output'!E3</f>
        <v>5975.063250278401</v>
      </c>
      <c r="C19" s="287">
        <f>'Valuation output'!E4</f>
        <v>8.5000000000000006E-2</v>
      </c>
      <c r="D19" s="274">
        <f t="shared" si="0"/>
        <v>507.88037627366413</v>
      </c>
      <c r="E19" s="286">
        <f>'Valuation output'!E7</f>
        <v>386.4969663442584</v>
      </c>
      <c r="F19" s="286">
        <f>'Valuation output'!E8</f>
        <v>123.51551938560017</v>
      </c>
      <c r="G19" s="317">
        <f t="shared" si="1"/>
        <v>262.98144695865824</v>
      </c>
      <c r="H19" s="403"/>
      <c r="I19" s="404"/>
      <c r="J19" s="404"/>
      <c r="K19" s="405"/>
    </row>
    <row r="20" spans="1:11">
      <c r="A20" s="285">
        <v>4</v>
      </c>
      <c r="B20" s="286">
        <f>'Valuation output'!F3</f>
        <v>6166.2652742873097</v>
      </c>
      <c r="C20" s="287">
        <f>'Valuation output'!F4</f>
        <v>8.5000000000000006E-2</v>
      </c>
      <c r="D20" s="274">
        <f t="shared" si="0"/>
        <v>524.13254831442134</v>
      </c>
      <c r="E20" s="286">
        <f>'Valuation output'!F7</f>
        <v>398.86486926727463</v>
      </c>
      <c r="F20" s="286">
        <f>'Valuation output'!F8</f>
        <v>127.46801600593911</v>
      </c>
      <c r="G20" s="317">
        <f t="shared" si="1"/>
        <v>271.39685326133554</v>
      </c>
      <c r="H20" s="403"/>
      <c r="I20" s="404"/>
      <c r="J20" s="404"/>
      <c r="K20" s="405"/>
    </row>
    <row r="21" spans="1:11">
      <c r="A21" s="285">
        <v>5</v>
      </c>
      <c r="B21" s="286">
        <f>'Valuation output'!G3</f>
        <v>6363.5857630645041</v>
      </c>
      <c r="C21" s="287">
        <f>'Valuation output'!G4</f>
        <v>8.5000000000000006E-2</v>
      </c>
      <c r="D21" s="274">
        <f t="shared" si="0"/>
        <v>540.90478986048288</v>
      </c>
      <c r="E21" s="286">
        <f>'Valuation output'!G7</f>
        <v>411.62854508382748</v>
      </c>
      <c r="F21" s="286">
        <f>'Valuation output'!G8</f>
        <v>131.54699251812963</v>
      </c>
      <c r="G21" s="317">
        <f t="shared" si="1"/>
        <v>280.08155256569785</v>
      </c>
      <c r="H21" s="403"/>
      <c r="I21" s="404"/>
      <c r="J21" s="404"/>
      <c r="K21" s="405"/>
    </row>
    <row r="22" spans="1:11">
      <c r="A22" s="285">
        <v>6</v>
      </c>
      <c r="B22" s="286">
        <f>'Valuation output'!H3</f>
        <v>6547.7479350475905</v>
      </c>
      <c r="C22" s="287">
        <f>'Valuation output'!H4</f>
        <v>8.5000000000000006E-2</v>
      </c>
      <c r="D22" s="274">
        <f t="shared" si="0"/>
        <v>556.55857447904521</v>
      </c>
      <c r="E22" s="286">
        <f>'Valuation output'!H7</f>
        <v>422.31664631469948</v>
      </c>
      <c r="F22" s="286">
        <f>'Valuation output'!H8</f>
        <v>122.77478132205761</v>
      </c>
      <c r="G22" s="317">
        <f t="shared" si="1"/>
        <v>299.54186499264188</v>
      </c>
      <c r="H22" s="403"/>
      <c r="I22" s="404"/>
      <c r="J22" s="404"/>
      <c r="K22" s="405"/>
    </row>
    <row r="23" spans="1:11">
      <c r="A23" s="285">
        <v>7</v>
      </c>
      <c r="B23" s="286">
        <f>'Valuation output'!I3</f>
        <v>6717.2036516066219</v>
      </c>
      <c r="C23" s="287">
        <f>'Valuation output'!I4</f>
        <v>8.5000000000000006E-2</v>
      </c>
      <c r="D23" s="274">
        <f t="shared" si="0"/>
        <v>570.96231038656288</v>
      </c>
      <c r="E23" s="286">
        <f>'Valuation output'!I7</f>
        <v>431.99008403847347</v>
      </c>
      <c r="F23" s="286">
        <f>'Valuation output'!I8</f>
        <v>112.97047770602087</v>
      </c>
      <c r="G23" s="317">
        <f t="shared" si="1"/>
        <v>319.01960633245261</v>
      </c>
      <c r="H23" s="403"/>
      <c r="I23" s="404"/>
      <c r="J23" s="404"/>
      <c r="K23" s="405"/>
    </row>
    <row r="24" spans="1:11">
      <c r="A24" s="285">
        <v>8</v>
      </c>
      <c r="B24" s="286">
        <f>'Valuation output'!J3</f>
        <v>6870.4902389362851</v>
      </c>
      <c r="C24" s="287">
        <f>'Valuation output'!J4</f>
        <v>8.5000000000000006E-2</v>
      </c>
      <c r="D24" s="274">
        <f t="shared" si="0"/>
        <v>583.99167030958426</v>
      </c>
      <c r="E24" s="286">
        <f>'Valuation output'!J7</f>
        <v>440.5633160815504</v>
      </c>
      <c r="F24" s="286">
        <f>'Valuation output'!J8</f>
        <v>102.19105821977548</v>
      </c>
      <c r="G24" s="317">
        <f t="shared" si="1"/>
        <v>338.37225786177493</v>
      </c>
      <c r="H24" s="403"/>
      <c r="I24" s="404"/>
      <c r="J24" s="404"/>
      <c r="K24" s="405"/>
    </row>
    <row r="25" spans="1:11">
      <c r="A25" s="285">
        <v>9</v>
      </c>
      <c r="B25" s="286">
        <f>'Valuation output'!K3</f>
        <v>7006.2511260576657</v>
      </c>
      <c r="C25" s="287">
        <f>'Valuation output'!K4</f>
        <v>8.5000000000000006E-2</v>
      </c>
      <c r="D25" s="274">
        <f t="shared" si="0"/>
        <v>595.53134571490159</v>
      </c>
      <c r="E25" s="286">
        <f>'Valuation output'!K7</f>
        <v>447.95867824674895</v>
      </c>
      <c r="F25" s="286">
        <f>'Valuation output'!K8</f>
        <v>90.507258080920408</v>
      </c>
      <c r="G25" s="317">
        <f t="shared" si="1"/>
        <v>357.45142016582855</v>
      </c>
      <c r="H25" s="403"/>
      <c r="I25" s="404"/>
      <c r="J25" s="404"/>
      <c r="K25" s="405"/>
    </row>
    <row r="26" spans="1:11">
      <c r="A26" s="285">
        <v>10</v>
      </c>
      <c r="B26" s="286">
        <f>'Valuation output'!L3</f>
        <v>7123.2555198628279</v>
      </c>
      <c r="C26" s="287">
        <f>'Valuation output'!L4</f>
        <v>8.5000000000000006E-2</v>
      </c>
      <c r="D26" s="274">
        <f t="shared" si="0"/>
        <v>605.47671918834044</v>
      </c>
      <c r="E26" s="286">
        <f>'Valuation output'!L7</f>
        <v>454.10753939125533</v>
      </c>
      <c r="F26" s="286">
        <f>'Valuation output'!L8</f>
        <v>78.002929203441454</v>
      </c>
      <c r="G26" s="317">
        <f t="shared" si="1"/>
        <v>376.10461018781388</v>
      </c>
      <c r="H26" s="403"/>
      <c r="I26" s="404"/>
      <c r="J26" s="404"/>
      <c r="K26" s="405"/>
    </row>
    <row r="27" spans="1:11" ht="17" thickBot="1">
      <c r="A27" s="288" t="s">
        <v>45</v>
      </c>
      <c r="B27" s="289">
        <f>'Valuation output'!M3</f>
        <v>7242.2138870445369</v>
      </c>
      <c r="C27" s="290">
        <f>'Valuation output'!M4</f>
        <v>8.5000000000000006E-2</v>
      </c>
      <c r="D27" s="274">
        <f t="shared" si="0"/>
        <v>615.58818039878565</v>
      </c>
      <c r="E27" s="289">
        <f>'Valuation output'!M7</f>
        <v>461.69113529908924</v>
      </c>
      <c r="F27" s="289">
        <f>'Valuation output'!M8</f>
        <v>124.96340290915384</v>
      </c>
      <c r="G27" s="317">
        <f t="shared" si="1"/>
        <v>336.7277323899354</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7482.8384975541203</v>
      </c>
      <c r="E29" s="292"/>
      <c r="F29" s="293"/>
      <c r="G29" s="294"/>
      <c r="H29" s="409" t="s">
        <v>660</v>
      </c>
      <c r="I29" s="410"/>
      <c r="J29" s="410"/>
      <c r="K29" s="410"/>
    </row>
    <row r="30" spans="1:11">
      <c r="A30" s="367" t="s">
        <v>639</v>
      </c>
      <c r="B30" s="368"/>
      <c r="C30" s="369"/>
      <c r="D30" s="295">
        <f>'Valuation output'!B19</f>
        <v>3228.7790910227554</v>
      </c>
      <c r="E30" s="296"/>
      <c r="F30" s="297"/>
      <c r="G30" s="298"/>
      <c r="H30" s="409"/>
      <c r="I30" s="410"/>
      <c r="J30" s="410"/>
      <c r="K30" s="410"/>
    </row>
    <row r="31" spans="1:11">
      <c r="A31" s="367" t="s">
        <v>46</v>
      </c>
      <c r="B31" s="368"/>
      <c r="C31" s="369"/>
      <c r="D31" s="295">
        <f>'Valuation output'!B20</f>
        <v>1740.8351847790902</v>
      </c>
      <c r="E31" s="296"/>
      <c r="F31" s="297"/>
      <c r="G31" s="298"/>
      <c r="H31" s="409"/>
      <c r="I31" s="410"/>
      <c r="J31" s="410"/>
      <c r="K31" s="410"/>
    </row>
    <row r="32" spans="1:11">
      <c r="A32" s="367" t="s">
        <v>44</v>
      </c>
      <c r="B32" s="368"/>
      <c r="C32" s="369"/>
      <c r="D32" s="295">
        <f>'Valuation output'!B21</f>
        <v>4969.6142758018459</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4719.2</v>
      </c>
      <c r="E34" s="296"/>
      <c r="F34" s="297"/>
      <c r="G34" s="298"/>
      <c r="H34" s="409"/>
      <c r="I34" s="410"/>
      <c r="J34" s="410"/>
      <c r="K34" s="410"/>
    </row>
    <row r="35" spans="1:11">
      <c r="A35" s="367" t="s">
        <v>651</v>
      </c>
      <c r="B35" s="368"/>
      <c r="C35" s="369"/>
      <c r="D35" s="295">
        <f>'Valuation output'!B27+'Valuation output'!B28</f>
        <v>100.4</v>
      </c>
      <c r="E35" s="296"/>
      <c r="F35" s="297"/>
      <c r="G35" s="298"/>
      <c r="H35" s="409"/>
      <c r="I35" s="410"/>
      <c r="J35" s="410"/>
      <c r="K35" s="410"/>
    </row>
    <row r="36" spans="1:11">
      <c r="A36" s="367" t="s">
        <v>54</v>
      </c>
      <c r="B36" s="368"/>
      <c r="C36" s="369"/>
      <c r="D36" s="295">
        <f>D32-D33-D34+D35</f>
        <v>350.81427580184607</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52.1</v>
      </c>
      <c r="E38" s="297"/>
      <c r="F38" s="300"/>
      <c r="G38" s="298"/>
      <c r="H38" s="409"/>
      <c r="I38" s="410"/>
      <c r="J38" s="410"/>
      <c r="K38" s="410"/>
    </row>
    <row r="39" spans="1:11" ht="17" thickBot="1">
      <c r="A39" s="415" t="s">
        <v>623</v>
      </c>
      <c r="B39" s="416"/>
      <c r="C39" s="416"/>
      <c r="D39" s="271">
        <f>(D36-D37)/D38</f>
        <v>6.7334793819932068</v>
      </c>
      <c r="E39" s="417" t="s">
        <v>653</v>
      </c>
      <c r="F39" s="418"/>
      <c r="G39" s="315">
        <f>'Input sheet'!B20</f>
        <v>6.85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5792.6</v>
      </c>
    </row>
    <row r="3" spans="1:4" s="144" customFormat="1" ht="13">
      <c r="A3" s="147" t="s">
        <v>8</v>
      </c>
      <c r="B3" s="148">
        <f>'Valuation output'!L39</f>
        <v>6917.2370132418837</v>
      </c>
    </row>
    <row r="4" spans="1:4" s="144" customFormat="1" ht="13">
      <c r="A4" s="147" t="s">
        <v>9</v>
      </c>
      <c r="B4" s="148">
        <f>B3-B2</f>
        <v>1124.6370132418833</v>
      </c>
    </row>
    <row r="5" spans="1:4" s="144" customFormat="1" ht="13">
      <c r="A5" s="147" t="s">
        <v>10</v>
      </c>
      <c r="B5" s="148">
        <f>'Valuation output'!L5-'Valuation output'!B5</f>
        <v>381.47671918834044</v>
      </c>
    </row>
    <row r="6" spans="1:4" s="144" customFormat="1" ht="13">
      <c r="A6" s="147" t="s">
        <v>4</v>
      </c>
      <c r="B6" s="149">
        <f>B5/B4</f>
        <v>0.33919986155239018</v>
      </c>
    </row>
    <row r="7" spans="1:4" s="144" customFormat="1" ht="13">
      <c r="A7" s="147" t="s">
        <v>5</v>
      </c>
      <c r="B7" s="149">
        <f>'Valuation output'!L40</f>
        <v>6.5648688706479635E-2</v>
      </c>
    </row>
    <row r="8" spans="1:4" s="144" customFormat="1" ht="13">
      <c r="A8" s="147" t="s">
        <v>240</v>
      </c>
      <c r="B8" s="149">
        <f>(1/'Valuation output'!L13)^(1/10)-1</f>
        <v>8.7684160127964983E-2</v>
      </c>
    </row>
    <row r="9" spans="1:4" s="144" customFormat="1" ht="14" thickBot="1">
      <c r="A9" s="150" t="s">
        <v>28</v>
      </c>
      <c r="B9" s="151">
        <f>'Valuation output'!B33/'Valuation output'!B34</f>
        <v>0.98298969080192811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5436.3</v>
      </c>
      <c r="D2" s="331">
        <f>'Valuation output'!B4</f>
        <v>4.120449570479922E-2</v>
      </c>
      <c r="E2" s="330">
        <f>B2*D2</f>
        <v>224</v>
      </c>
      <c r="F2" s="330">
        <f>'Valuation output'!B10</f>
        <v>0</v>
      </c>
      <c r="G2" s="330">
        <f>E2-H2</f>
        <v>53.536000000000001</v>
      </c>
      <c r="H2" s="330">
        <f>'Valuation output'!B7</f>
        <v>170.464</v>
      </c>
    </row>
    <row r="3" spans="1:8" s="329" customFormat="1">
      <c r="A3" s="329">
        <v>1</v>
      </c>
      <c r="B3" s="330">
        <f>'Valuation output'!C3</f>
        <v>5610.2616000000007</v>
      </c>
      <c r="C3" s="331">
        <f>'Valuation output'!C2</f>
        <v>3.2000000000000001E-2</v>
      </c>
      <c r="D3" s="331">
        <f>'Valuation output'!C4</f>
        <v>6.3102247852399609E-2</v>
      </c>
      <c r="E3" s="330">
        <f>B3*D3</f>
        <v>354.02011800000002</v>
      </c>
      <c r="F3" s="330">
        <f>'Valuation output'!C10</f>
        <v>0</v>
      </c>
      <c r="G3" s="330">
        <f t="shared" ref="G3:G12" si="0">E3-H3</f>
        <v>84.610808201999987</v>
      </c>
      <c r="H3" s="330">
        <f>'Valuation output'!C7</f>
        <v>269.40930979800004</v>
      </c>
    </row>
    <row r="4" spans="1:8" s="329" customFormat="1">
      <c r="A4" s="329">
        <v>2</v>
      </c>
      <c r="B4" s="333">
        <f>'Valuation output'!D3</f>
        <v>5789.7899712000008</v>
      </c>
      <c r="C4" s="331">
        <f>B4/B3-1</f>
        <v>3.2000000000000028E-2</v>
      </c>
      <c r="D4" s="331">
        <f>'Valuation output'!D4</f>
        <v>8.5000000000000006E-2</v>
      </c>
      <c r="E4" s="330">
        <f t="shared" ref="E4:E12" si="1">B4*D4</f>
        <v>492.13214755200011</v>
      </c>
      <c r="F4" s="330">
        <f>'Valuation output'!D10</f>
        <v>0</v>
      </c>
      <c r="G4" s="330">
        <f t="shared" si="0"/>
        <v>117.619583264928</v>
      </c>
      <c r="H4" s="330">
        <f>'Valuation output'!D7</f>
        <v>374.51256428707211</v>
      </c>
    </row>
    <row r="5" spans="1:8" s="329" customFormat="1">
      <c r="A5" s="329">
        <v>3</v>
      </c>
      <c r="B5" s="330">
        <f>'Valuation output'!E3</f>
        <v>5975.063250278401</v>
      </c>
      <c r="C5" s="331">
        <f t="shared" ref="C5:C12" si="2">B5/B4-1</f>
        <v>3.2000000000000028E-2</v>
      </c>
      <c r="D5" s="331">
        <f>'Valuation output'!E4</f>
        <v>8.5000000000000006E-2</v>
      </c>
      <c r="E5" s="330">
        <f t="shared" si="1"/>
        <v>507.88037627366413</v>
      </c>
      <c r="F5" s="330">
        <f>'Valuation output'!E10</f>
        <v>0</v>
      </c>
      <c r="G5" s="330">
        <f t="shared" si="0"/>
        <v>121.38340992940573</v>
      </c>
      <c r="H5" s="330">
        <f>'Valuation output'!E7</f>
        <v>386.4969663442584</v>
      </c>
    </row>
    <row r="6" spans="1:8" s="329" customFormat="1">
      <c r="A6" s="329">
        <v>4</v>
      </c>
      <c r="B6" s="330">
        <f>'Valuation output'!F3</f>
        <v>6166.2652742873097</v>
      </c>
      <c r="C6" s="331">
        <f t="shared" si="2"/>
        <v>3.2000000000000028E-2</v>
      </c>
      <c r="D6" s="331">
        <f>'Valuation output'!F4</f>
        <v>8.5000000000000006E-2</v>
      </c>
      <c r="E6" s="330">
        <f t="shared" si="1"/>
        <v>524.13254831442134</v>
      </c>
      <c r="F6" s="330">
        <f>'Valuation output'!F10</f>
        <v>0</v>
      </c>
      <c r="G6" s="330">
        <f t="shared" si="0"/>
        <v>125.26767904714671</v>
      </c>
      <c r="H6" s="330">
        <f>'Valuation output'!F7</f>
        <v>398.86486926727463</v>
      </c>
    </row>
    <row r="7" spans="1:8" s="329" customFormat="1">
      <c r="A7" s="329">
        <v>5</v>
      </c>
      <c r="B7" s="330">
        <f>'Valuation output'!G3</f>
        <v>6363.5857630645041</v>
      </c>
      <c r="C7" s="331">
        <f t="shared" si="2"/>
        <v>3.2000000000000028E-2</v>
      </c>
      <c r="D7" s="331">
        <f>'Valuation output'!G4</f>
        <v>8.5000000000000006E-2</v>
      </c>
      <c r="E7" s="330">
        <f t="shared" si="1"/>
        <v>540.90478986048288</v>
      </c>
      <c r="F7" s="330">
        <f>'Valuation output'!G10</f>
        <v>0</v>
      </c>
      <c r="G7" s="330">
        <f t="shared" si="0"/>
        <v>129.2762447766554</v>
      </c>
      <c r="H7" s="330">
        <f>'Valuation output'!G7</f>
        <v>411.62854508382748</v>
      </c>
    </row>
    <row r="8" spans="1:8" s="329" customFormat="1">
      <c r="A8" s="329">
        <v>6</v>
      </c>
      <c r="B8" s="330">
        <f>'Valuation output'!H3</f>
        <v>6547.7479350475905</v>
      </c>
      <c r="C8" s="331">
        <f t="shared" si="2"/>
        <v>2.8939999999999966E-2</v>
      </c>
      <c r="D8" s="331">
        <f>'Valuation output'!H4</f>
        <v>8.5000000000000006E-2</v>
      </c>
      <c r="E8" s="330">
        <f t="shared" si="1"/>
        <v>556.55857447904521</v>
      </c>
      <c r="F8" s="330">
        <f>'Valuation output'!H10</f>
        <v>0</v>
      </c>
      <c r="G8" s="330">
        <f t="shared" si="0"/>
        <v>134.24192816434572</v>
      </c>
      <c r="H8" s="330">
        <f>'Valuation output'!H7</f>
        <v>422.31664631469948</v>
      </c>
    </row>
    <row r="9" spans="1:8" s="329" customFormat="1">
      <c r="A9" s="329">
        <v>7</v>
      </c>
      <c r="B9" s="330">
        <f>'Valuation output'!I3</f>
        <v>6717.2036516066219</v>
      </c>
      <c r="C9" s="331">
        <f t="shared" si="2"/>
        <v>2.5879999999999903E-2</v>
      </c>
      <c r="D9" s="331">
        <f>'Valuation output'!I4</f>
        <v>8.5000000000000006E-2</v>
      </c>
      <c r="E9" s="330">
        <f t="shared" si="1"/>
        <v>570.96231038656288</v>
      </c>
      <c r="F9" s="330">
        <f>'Valuation output'!I10</f>
        <v>0</v>
      </c>
      <c r="G9" s="330">
        <f t="shared" si="0"/>
        <v>138.97222634808941</v>
      </c>
      <c r="H9" s="330">
        <f>'Valuation output'!I7</f>
        <v>431.99008403847347</v>
      </c>
    </row>
    <row r="10" spans="1:8" s="329" customFormat="1">
      <c r="A10" s="329">
        <v>8</v>
      </c>
      <c r="B10" s="330">
        <f>'Valuation output'!J3</f>
        <v>6870.4902389362851</v>
      </c>
      <c r="C10" s="331">
        <f t="shared" si="2"/>
        <v>2.2820000000000062E-2</v>
      </c>
      <c r="D10" s="331">
        <f>'Valuation output'!J4</f>
        <v>8.5000000000000006E-2</v>
      </c>
      <c r="E10" s="330">
        <f t="shared" si="1"/>
        <v>583.99167030958426</v>
      </c>
      <c r="F10" s="330">
        <f>'Valuation output'!J10</f>
        <v>0</v>
      </c>
      <c r="G10" s="330">
        <f t="shared" si="0"/>
        <v>143.42835422803387</v>
      </c>
      <c r="H10" s="330">
        <f>'Valuation output'!J7</f>
        <v>440.5633160815504</v>
      </c>
    </row>
    <row r="11" spans="1:8" s="329" customFormat="1">
      <c r="A11" s="329">
        <v>9</v>
      </c>
      <c r="B11" s="330">
        <f>'Valuation output'!K3</f>
        <v>7006.2511260576657</v>
      </c>
      <c r="C11" s="331">
        <f t="shared" si="2"/>
        <v>1.976E-2</v>
      </c>
      <c r="D11" s="331">
        <f>'Valuation output'!K4</f>
        <v>8.5000000000000006E-2</v>
      </c>
      <c r="E11" s="330">
        <f t="shared" si="1"/>
        <v>595.53134571490159</v>
      </c>
      <c r="F11" s="330">
        <f>'Valuation output'!K10</f>
        <v>0</v>
      </c>
      <c r="G11" s="330">
        <f t="shared" si="0"/>
        <v>147.57266746815264</v>
      </c>
      <c r="H11" s="330">
        <f>'Valuation output'!K7</f>
        <v>447.95867824674895</v>
      </c>
    </row>
    <row r="12" spans="1:8" s="329" customFormat="1">
      <c r="A12" s="329">
        <v>10</v>
      </c>
      <c r="B12" s="330">
        <f>'Valuation output'!L3</f>
        <v>7123.2555198628279</v>
      </c>
      <c r="C12" s="331">
        <f t="shared" si="2"/>
        <v>1.6699999999999937E-2</v>
      </c>
      <c r="D12" s="331">
        <f>'Valuation output'!L4</f>
        <v>8.5000000000000006E-2</v>
      </c>
      <c r="E12" s="330">
        <f t="shared" si="1"/>
        <v>605.47671918834044</v>
      </c>
      <c r="F12" s="330">
        <f>'Valuation output'!L10</f>
        <v>0</v>
      </c>
      <c r="G12" s="330">
        <f t="shared" si="0"/>
        <v>151.36917979708511</v>
      </c>
      <c r="H12" s="330">
        <f>'Valuation output'!L7</f>
        <v>454.10753939125533</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170.464</v>
      </c>
      <c r="G15" s="335">
        <f>'Valuation output'!B39</f>
        <v>5792.6</v>
      </c>
      <c r="H15" s="336">
        <f>B15/G15</f>
        <v>2.9427890757172944E-2</v>
      </c>
    </row>
    <row r="16" spans="1:8" s="329" customFormat="1">
      <c r="A16" s="329">
        <f t="shared" ref="A16:A24" si="3">A3</f>
        <v>1</v>
      </c>
      <c r="B16" s="330">
        <f t="shared" ref="B16:B25" si="4">H3</f>
        <v>269.40930979800004</v>
      </c>
      <c r="C16" s="330">
        <f>B3-B2</f>
        <v>173.96160000000054</v>
      </c>
      <c r="D16" s="334">
        <f>'Valuation output'!C38</f>
        <v>1.5</v>
      </c>
      <c r="E16" s="330">
        <f>C16/D16</f>
        <v>115.97440000000036</v>
      </c>
      <c r="F16" s="330">
        <f>B16-E16</f>
        <v>153.43490979799969</v>
      </c>
      <c r="G16" s="330">
        <f>G15+E16</f>
        <v>5908.5744000000004</v>
      </c>
      <c r="H16" s="336">
        <f t="shared" ref="H16:H25" si="5">B16/G16</f>
        <v>4.5596330275201415E-2</v>
      </c>
    </row>
    <row r="17" spans="1:8" s="329" customFormat="1">
      <c r="A17" s="329">
        <f t="shared" si="3"/>
        <v>2</v>
      </c>
      <c r="B17" s="330">
        <f t="shared" si="4"/>
        <v>374.51256428707211</v>
      </c>
      <c r="C17" s="330">
        <f t="shared" ref="C17:C25" si="6">B4-B3</f>
        <v>179.52837120000004</v>
      </c>
      <c r="D17" s="334">
        <f>'Valuation output'!D38</f>
        <v>1.5</v>
      </c>
      <c r="E17" s="330">
        <f t="shared" ref="E17:E25" si="7">C17/D17</f>
        <v>119.68558080000003</v>
      </c>
      <c r="F17" s="330">
        <f t="shared" ref="F17:F25" si="8">B17-E17</f>
        <v>254.82698348707208</v>
      </c>
      <c r="G17" s="330">
        <f t="shared" ref="G17:G25" si="9">G16+E17</f>
        <v>6028.2599808000004</v>
      </c>
      <c r="H17" s="336">
        <f t="shared" si="5"/>
        <v>6.2126146762066348E-2</v>
      </c>
    </row>
    <row r="18" spans="1:8" s="329" customFormat="1">
      <c r="A18" s="329">
        <f t="shared" si="3"/>
        <v>3</v>
      </c>
      <c r="B18" s="330">
        <f t="shared" si="4"/>
        <v>386.4969663442584</v>
      </c>
      <c r="C18" s="330">
        <f t="shared" si="6"/>
        <v>185.27327907840026</v>
      </c>
      <c r="D18" s="334">
        <f>'Valuation output'!E38</f>
        <v>1.5</v>
      </c>
      <c r="E18" s="330">
        <f t="shared" si="7"/>
        <v>123.51551938560017</v>
      </c>
      <c r="F18" s="330">
        <f t="shared" si="8"/>
        <v>262.98144695865824</v>
      </c>
      <c r="G18" s="330">
        <f t="shared" si="9"/>
        <v>6151.7755001856003</v>
      </c>
      <c r="H18" s="336">
        <f t="shared" si="5"/>
        <v>6.2826897101917606E-2</v>
      </c>
    </row>
    <row r="19" spans="1:8" s="329" customFormat="1">
      <c r="A19" s="329">
        <f t="shared" si="3"/>
        <v>4</v>
      </c>
      <c r="B19" s="330">
        <f t="shared" si="4"/>
        <v>398.86486926727463</v>
      </c>
      <c r="C19" s="330">
        <f t="shared" si="6"/>
        <v>191.20202400890867</v>
      </c>
      <c r="D19" s="334">
        <f>'Valuation output'!F38</f>
        <v>1.5</v>
      </c>
      <c r="E19" s="330">
        <f t="shared" si="7"/>
        <v>127.46801600593911</v>
      </c>
      <c r="F19" s="330">
        <f t="shared" si="8"/>
        <v>271.39685326133554</v>
      </c>
      <c r="G19" s="330">
        <f t="shared" si="9"/>
        <v>6279.2435161915391</v>
      </c>
      <c r="H19" s="336">
        <f t="shared" si="5"/>
        <v>6.3521165923692752E-2</v>
      </c>
    </row>
    <row r="20" spans="1:8" s="329" customFormat="1">
      <c r="A20" s="329">
        <f t="shared" si="3"/>
        <v>5</v>
      </c>
      <c r="B20" s="330">
        <f t="shared" si="4"/>
        <v>411.62854508382748</v>
      </c>
      <c r="C20" s="330">
        <f t="shared" si="6"/>
        <v>197.32048877719444</v>
      </c>
      <c r="D20" s="334">
        <f>'Valuation output'!G38</f>
        <v>1.5</v>
      </c>
      <c r="E20" s="330">
        <f t="shared" si="7"/>
        <v>131.54699251812963</v>
      </c>
      <c r="F20" s="330">
        <f t="shared" si="8"/>
        <v>280.08155256569785</v>
      </c>
      <c r="G20" s="330">
        <f t="shared" si="9"/>
        <v>6410.7905087096688</v>
      </c>
      <c r="H20" s="336">
        <f t="shared" si="5"/>
        <v>6.4208703205102538E-2</v>
      </c>
    </row>
    <row r="21" spans="1:8" s="329" customFormat="1">
      <c r="A21" s="329">
        <f t="shared" si="3"/>
        <v>6</v>
      </c>
      <c r="B21" s="330">
        <f t="shared" si="4"/>
        <v>422.31664631469948</v>
      </c>
      <c r="C21" s="330">
        <f t="shared" si="6"/>
        <v>184.16217198308641</v>
      </c>
      <c r="D21" s="334">
        <f>'Valuation output'!H38</f>
        <v>1.5</v>
      </c>
      <c r="E21" s="330">
        <f t="shared" si="7"/>
        <v>122.77478132205761</v>
      </c>
      <c r="F21" s="330">
        <f t="shared" si="8"/>
        <v>299.54186499264188</v>
      </c>
      <c r="G21" s="330">
        <f t="shared" si="9"/>
        <v>6533.5652900317264</v>
      </c>
      <c r="H21" s="336">
        <f t="shared" si="5"/>
        <v>6.4638008126899543E-2</v>
      </c>
    </row>
    <row r="22" spans="1:8" s="329" customFormat="1">
      <c r="A22" s="329">
        <f t="shared" si="3"/>
        <v>7</v>
      </c>
      <c r="B22" s="330">
        <f t="shared" si="4"/>
        <v>431.99008403847347</v>
      </c>
      <c r="C22" s="330">
        <f t="shared" si="6"/>
        <v>169.45571655903132</v>
      </c>
      <c r="D22" s="334">
        <f>'Valuation output'!I38</f>
        <v>1.5</v>
      </c>
      <c r="E22" s="330">
        <f t="shared" si="7"/>
        <v>112.97047770602087</v>
      </c>
      <c r="F22" s="330">
        <f t="shared" si="8"/>
        <v>319.01960633245261</v>
      </c>
      <c r="G22" s="330">
        <f t="shared" si="9"/>
        <v>6646.5357677377469</v>
      </c>
      <c r="H22" s="336">
        <f t="shared" si="5"/>
        <v>6.4994773086959265E-2</v>
      </c>
    </row>
    <row r="23" spans="1:8" s="329" customFormat="1">
      <c r="A23" s="329">
        <f t="shared" si="3"/>
        <v>8</v>
      </c>
      <c r="B23" s="330">
        <f t="shared" si="4"/>
        <v>440.5633160815504</v>
      </c>
      <c r="C23" s="330">
        <f t="shared" si="6"/>
        <v>153.28658732966323</v>
      </c>
      <c r="D23" s="334">
        <f>'Valuation output'!J38</f>
        <v>1.5</v>
      </c>
      <c r="E23" s="330">
        <f t="shared" si="7"/>
        <v>102.19105821977548</v>
      </c>
      <c r="F23" s="330">
        <f t="shared" si="8"/>
        <v>338.37225786177493</v>
      </c>
      <c r="G23" s="330">
        <f t="shared" si="9"/>
        <v>6748.7268259575221</v>
      </c>
      <c r="H23" s="336">
        <f t="shared" si="5"/>
        <v>6.5280952606796686E-2</v>
      </c>
    </row>
    <row r="24" spans="1:8" s="329" customFormat="1">
      <c r="A24" s="329">
        <f t="shared" si="3"/>
        <v>9</v>
      </c>
      <c r="B24" s="330">
        <f t="shared" si="4"/>
        <v>447.95867824674895</v>
      </c>
      <c r="C24" s="330">
        <f t="shared" si="6"/>
        <v>135.76088712138062</v>
      </c>
      <c r="D24" s="334">
        <f>'Valuation output'!K38</f>
        <v>1.5</v>
      </c>
      <c r="E24" s="330">
        <f t="shared" si="7"/>
        <v>90.507258080920408</v>
      </c>
      <c r="F24" s="330">
        <f t="shared" si="8"/>
        <v>357.45142016582855</v>
      </c>
      <c r="G24" s="330">
        <f t="shared" si="9"/>
        <v>6839.2340840384422</v>
      </c>
      <c r="H24" s="336">
        <f t="shared" si="5"/>
        <v>6.5498369077935922E-2</v>
      </c>
    </row>
    <row r="25" spans="1:8" s="329" customFormat="1">
      <c r="A25" s="329">
        <f>A12</f>
        <v>10</v>
      </c>
      <c r="B25" s="330">
        <f t="shared" si="4"/>
        <v>454.10753939125533</v>
      </c>
      <c r="C25" s="330">
        <f t="shared" si="6"/>
        <v>117.00439380516218</v>
      </c>
      <c r="D25" s="334">
        <f>'Valuation output'!L38</f>
        <v>1.5</v>
      </c>
      <c r="E25" s="330">
        <f t="shared" si="7"/>
        <v>78.002929203441454</v>
      </c>
      <c r="F25" s="330">
        <f t="shared" si="8"/>
        <v>376.10461018781388</v>
      </c>
      <c r="G25" s="330">
        <f t="shared" si="9"/>
        <v>6917.2370132418837</v>
      </c>
      <c r="H25" s="336">
        <f t="shared" si="5"/>
        <v>6.5648688706479635E-2</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9.8939372947556795E-2</v>
      </c>
    </row>
    <row r="29" spans="1:8">
      <c r="A29">
        <f t="shared" ref="A29:A37" si="10">A17</f>
        <v>2</v>
      </c>
      <c r="H29" s="324">
        <f>'Valuation output'!D12</f>
        <v>9.8939372947556795E-2</v>
      </c>
    </row>
    <row r="30" spans="1:8">
      <c r="A30">
        <f t="shared" si="10"/>
        <v>3</v>
      </c>
      <c r="H30" s="324">
        <f>'Valuation output'!E12</f>
        <v>9.8939372947556795E-2</v>
      </c>
    </row>
    <row r="31" spans="1:8">
      <c r="A31">
        <f t="shared" si="10"/>
        <v>4</v>
      </c>
      <c r="H31" s="324">
        <f>'Valuation output'!F12</f>
        <v>9.8939372947556795E-2</v>
      </c>
    </row>
    <row r="32" spans="1:8">
      <c r="A32">
        <f t="shared" si="10"/>
        <v>5</v>
      </c>
      <c r="H32" s="324">
        <f>'Valuation output'!G12</f>
        <v>9.8939372947556795E-2</v>
      </c>
    </row>
    <row r="33" spans="1:8">
      <c r="A33">
        <f t="shared" si="10"/>
        <v>6</v>
      </c>
      <c r="H33" s="324">
        <f>'Valuation output'!H12</f>
        <v>9.1491498358045431E-2</v>
      </c>
    </row>
    <row r="34" spans="1:8">
      <c r="A34">
        <f t="shared" si="10"/>
        <v>7</v>
      </c>
      <c r="H34" s="324">
        <f>'Valuation output'!I12</f>
        <v>8.4043623768534068E-2</v>
      </c>
    </row>
    <row r="35" spans="1:8">
      <c r="A35">
        <f t="shared" si="10"/>
        <v>8</v>
      </c>
      <c r="H35" s="324">
        <f>'Valuation output'!J12</f>
        <v>7.6595749179022704E-2</v>
      </c>
    </row>
    <row r="36" spans="1:8">
      <c r="A36">
        <f t="shared" si="10"/>
        <v>9</v>
      </c>
      <c r="H36" s="324">
        <f>'Valuation output'!K12</f>
        <v>6.9147874589511341E-2</v>
      </c>
    </row>
    <row r="37" spans="1:8">
      <c r="A37">
        <f t="shared" si="10"/>
        <v>10</v>
      </c>
      <c r="H37" s="324">
        <f>'Valuation output'!L12</f>
        <v>6.1699999999999984E-2</v>
      </c>
    </row>
    <row r="38" spans="1:8" ht="13" thickBot="1"/>
    <row r="39" spans="1:8" ht="31" thickBot="1">
      <c r="A39" s="328" t="s">
        <v>120</v>
      </c>
      <c r="B39" s="328" t="s">
        <v>680</v>
      </c>
      <c r="C39" s="328" t="s">
        <v>683</v>
      </c>
      <c r="D39" s="328" t="s">
        <v>16</v>
      </c>
      <c r="E39" s="328" t="s">
        <v>684</v>
      </c>
      <c r="F39" s="328" t="s">
        <v>130</v>
      </c>
    </row>
    <row r="40" spans="1:8">
      <c r="A40">
        <f>A28</f>
        <v>1</v>
      </c>
      <c r="B40" s="337">
        <f>H28</f>
        <v>9.8939372947556795E-2</v>
      </c>
      <c r="C40" s="338">
        <f>(1+'Summary Sheet'!B40)</f>
        <v>1.0989393729475567</v>
      </c>
      <c r="D40" s="332">
        <f>F16</f>
        <v>153.43490979799969</v>
      </c>
      <c r="F40" s="332">
        <f>D40/C40</f>
        <v>139.62090500630546</v>
      </c>
    </row>
    <row r="41" spans="1:8">
      <c r="A41">
        <f t="shared" ref="A41:A49" si="11">A29</f>
        <v>2</v>
      </c>
      <c r="B41" s="337">
        <f t="shared" ref="B41:B49" si="12">H29</f>
        <v>9.8939372947556795E-2</v>
      </c>
      <c r="C41" s="338">
        <f>C40*(1+B41)</f>
        <v>1.2076677454143692</v>
      </c>
      <c r="D41" s="332">
        <f t="shared" ref="D41:D49" si="13">F17</f>
        <v>254.82698348707208</v>
      </c>
      <c r="F41" s="332">
        <f t="shared" ref="F41:F48" si="14">D41/C41</f>
        <v>211.00752624608441</v>
      </c>
    </row>
    <row r="42" spans="1:8">
      <c r="A42">
        <f t="shared" si="11"/>
        <v>3</v>
      </c>
      <c r="B42" s="337">
        <f t="shared" si="12"/>
        <v>9.8939372947556795E-2</v>
      </c>
      <c r="C42" s="338">
        <f t="shared" ref="C42:C49" si="15">C41*(1+B42)</f>
        <v>1.3271536348746564</v>
      </c>
      <c r="D42" s="332">
        <f t="shared" si="13"/>
        <v>262.98144695865824</v>
      </c>
      <c r="F42" s="332">
        <f t="shared" si="14"/>
        <v>198.15448644986429</v>
      </c>
    </row>
    <row r="43" spans="1:8">
      <c r="A43">
        <f t="shared" si="11"/>
        <v>4</v>
      </c>
      <c r="B43" s="337">
        <f t="shared" si="12"/>
        <v>9.8939372947556795E-2</v>
      </c>
      <c r="C43" s="338">
        <f t="shared" si="15"/>
        <v>1.4584613833142255</v>
      </c>
      <c r="D43" s="332">
        <f t="shared" si="13"/>
        <v>271.39685326133554</v>
      </c>
      <c r="F43" s="332">
        <f t="shared" si="14"/>
        <v>186.08436011148271</v>
      </c>
    </row>
    <row r="44" spans="1:8">
      <c r="A44">
        <f t="shared" si="11"/>
        <v>5</v>
      </c>
      <c r="B44" s="337">
        <f t="shared" si="12"/>
        <v>9.8939372947556795E-2</v>
      </c>
      <c r="C44" s="338">
        <f t="shared" si="15"/>
        <v>1.6027606380475612</v>
      </c>
      <c r="D44" s="332">
        <f t="shared" si="13"/>
        <v>280.08155256569785</v>
      </c>
      <c r="F44" s="332">
        <f t="shared" si="14"/>
        <v>174.74945785222519</v>
      </c>
    </row>
    <row r="45" spans="1:8">
      <c r="A45">
        <f t="shared" si="11"/>
        <v>6</v>
      </c>
      <c r="B45" s="337">
        <f t="shared" si="12"/>
        <v>9.1491498358045431E-2</v>
      </c>
      <c r="C45" s="338">
        <f t="shared" si="15"/>
        <v>1.7493996103318297</v>
      </c>
      <c r="D45" s="332">
        <f t="shared" si="13"/>
        <v>299.54186499264188</v>
      </c>
      <c r="F45" s="332">
        <f t="shared" si="14"/>
        <v>171.22552401610753</v>
      </c>
    </row>
    <row r="46" spans="1:8">
      <c r="A46">
        <f t="shared" si="11"/>
        <v>7</v>
      </c>
      <c r="B46" s="337">
        <f t="shared" si="12"/>
        <v>8.4043623768534068E-2</v>
      </c>
      <c r="C46" s="338">
        <f t="shared" si="15"/>
        <v>1.8964254930033779</v>
      </c>
      <c r="D46" s="332">
        <f t="shared" si="13"/>
        <v>319.01960633245261</v>
      </c>
      <c r="F46" s="332">
        <f t="shared" si="14"/>
        <v>168.22153441273338</v>
      </c>
    </row>
    <row r="47" spans="1:8">
      <c r="A47">
        <f t="shared" si="11"/>
        <v>8</v>
      </c>
      <c r="B47" s="337">
        <f t="shared" si="12"/>
        <v>7.6595749179022704E-2</v>
      </c>
      <c r="C47" s="338">
        <f t="shared" si="15"/>
        <v>2.0416836244021694</v>
      </c>
      <c r="D47" s="332">
        <f t="shared" si="13"/>
        <v>338.37225786177493</v>
      </c>
      <c r="F47" s="332">
        <f t="shared" si="14"/>
        <v>165.73197424789777</v>
      </c>
    </row>
    <row r="48" spans="1:8">
      <c r="A48">
        <f t="shared" si="11"/>
        <v>9</v>
      </c>
      <c r="B48" s="337">
        <f t="shared" si="12"/>
        <v>6.9147874589511341E-2</v>
      </c>
      <c r="C48" s="338">
        <f t="shared" si="15"/>
        <v>2.1828617076137897</v>
      </c>
      <c r="D48" s="332">
        <f t="shared" si="13"/>
        <v>357.45142016582855</v>
      </c>
      <c r="F48" s="332">
        <f t="shared" si="14"/>
        <v>163.75358041191672</v>
      </c>
    </row>
    <row r="49" spans="1:6">
      <c r="A49">
        <f t="shared" si="11"/>
        <v>10</v>
      </c>
      <c r="B49" s="337">
        <f t="shared" si="12"/>
        <v>6.1699999999999984E-2</v>
      </c>
      <c r="C49" s="338">
        <f t="shared" si="15"/>
        <v>2.3175442749735606</v>
      </c>
      <c r="D49" s="332">
        <f t="shared" si="13"/>
        <v>376.10461018781388</v>
      </c>
      <c r="E49" s="332">
        <f>'Valuation output'!B18</f>
        <v>7482.8384975541203</v>
      </c>
      <c r="F49" s="332">
        <f>(D49+E49)/C49</f>
        <v>3391.0649270472263</v>
      </c>
    </row>
    <row r="50" spans="1:6">
      <c r="A50" t="s">
        <v>44</v>
      </c>
      <c r="F50" s="332">
        <f>SUM(F40:F49)</f>
        <v>4969.6142758018441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52.1</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52.1</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4" sqref="E2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52.1</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6.85</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1.2140124334135816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4710</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348.5</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464</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7.0699999999999999E-2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4762.429060319203</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13.364245896176808</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356.88499999999999</v>
      </c>
      <c r="C48" s="122">
        <f>C41+C42+C43</f>
        <v>4762.429060319203</v>
      </c>
      <c r="D48" s="122">
        <f>B36*B37</f>
        <v>0</v>
      </c>
      <c r="E48" s="121">
        <f>SUM(B48:D48)</f>
        <v>5119.3140603192032</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6.9713441253054759E-2</v>
      </c>
      <c r="C49" s="123">
        <f>C48/$E$48</f>
        <v>0.93028655874694521</v>
      </c>
      <c r="D49" s="123">
        <f>D48/$E$48</f>
        <v>0</v>
      </c>
      <c r="E49" s="124">
        <f>SUM(B49:D49)</f>
        <v>1</v>
      </c>
      <c r="F49" s="8"/>
    </row>
    <row r="50" spans="1:11" ht="20" thickBot="1">
      <c r="A50" s="19" t="s">
        <v>210</v>
      </c>
      <c r="B50" s="125">
        <f>B12+C45*B15</f>
        <v>0.71164078660119401</v>
      </c>
      <c r="C50" s="123">
        <f>B25*(1-B26)</f>
        <v>5.3025000000000003E-2</v>
      </c>
      <c r="D50" s="126">
        <f>B38/B37</f>
        <v>7.1428571428571425E-2</v>
      </c>
      <c r="E50" s="127">
        <f>B49*B50+C49*C50+D49*D50</f>
        <v>9.8939372947556795E-2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0.8</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0.8</v>
      </c>
      <c r="C11" s="185" t="s">
        <v>416</v>
      </c>
      <c r="D11" s="185"/>
      <c r="E11" s="185"/>
      <c r="F11" s="185"/>
      <c r="G11" s="185"/>
      <c r="H11" s="185"/>
      <c r="I11" s="185"/>
    </row>
    <row r="12" spans="1:10" s="186" customFormat="1" ht="14">
      <c r="A12" s="187">
        <f>IF((0-A11)&lt;$F$6,IF(A11&gt;-1,,A11-1),)</f>
        <v>-2</v>
      </c>
      <c r="B12" s="188">
        <v>1</v>
      </c>
      <c r="C12" s="185" t="s">
        <v>417</v>
      </c>
      <c r="D12" s="185"/>
      <c r="E12" s="185"/>
      <c r="F12" s="185"/>
      <c r="G12" s="185"/>
      <c r="H12" s="185"/>
      <c r="I12" s="185"/>
    </row>
    <row r="13" spans="1:10" s="186" customFormat="1" ht="14">
      <c r="A13" s="187">
        <f t="shared" ref="A13:A20" si="0">IF((0-A12)&lt;$F$6,IF(A12&gt;-1,,A12-1),)</f>
        <v>-3</v>
      </c>
      <c r="B13" s="188">
        <v>0.9</v>
      </c>
      <c r="C13" s="185"/>
      <c r="D13" s="185"/>
      <c r="E13" s="185"/>
      <c r="F13" s="185"/>
      <c r="G13" s="185"/>
      <c r="H13" s="185"/>
      <c r="I13" s="185"/>
    </row>
    <row r="14" spans="1:10" s="186" customFormat="1" ht="14">
      <c r="A14" s="187">
        <f t="shared" si="0"/>
        <v>-4</v>
      </c>
      <c r="B14" s="188">
        <v>0.7</v>
      </c>
      <c r="C14" s="185"/>
      <c r="D14" s="185"/>
      <c r="E14" s="185"/>
      <c r="F14" s="185"/>
      <c r="G14" s="185"/>
      <c r="H14" s="185"/>
      <c r="I14" s="185"/>
    </row>
    <row r="15" spans="1:10" s="186" customFormat="1" ht="14">
      <c r="A15" s="187">
        <f t="shared" si="0"/>
        <v>-5</v>
      </c>
      <c r="B15" s="188">
        <v>0.7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0.8</v>
      </c>
      <c r="C24" s="184">
        <f>1</f>
        <v>1</v>
      </c>
      <c r="D24" s="184">
        <f>B24*C24</f>
        <v>0.8</v>
      </c>
      <c r="E24" s="185"/>
      <c r="F24" s="185"/>
      <c r="G24" s="185"/>
      <c r="H24" s="185"/>
      <c r="I24" s="185"/>
    </row>
    <row r="25" spans="1:9" s="186" customFormat="1" ht="14">
      <c r="A25" s="187">
        <f>A11</f>
        <v>-1</v>
      </c>
      <c r="B25" s="184">
        <f>B11</f>
        <v>0.8</v>
      </c>
      <c r="C25" s="184">
        <f>IF(A25&lt;0,($F$6+A25)/$F$6,0)</f>
        <v>0.8</v>
      </c>
      <c r="D25" s="184">
        <f>B25*C25</f>
        <v>0.64000000000000012</v>
      </c>
      <c r="E25" s="192">
        <f t="shared" ref="E25:E34" si="1">IF(A25&lt;0,B25/$F$6,0)</f>
        <v>0.16</v>
      </c>
      <c r="F25" s="185"/>
      <c r="G25" s="185"/>
      <c r="H25" s="185"/>
      <c r="I25" s="185"/>
    </row>
    <row r="26" spans="1:9" s="186" customFormat="1" ht="14">
      <c r="A26" s="187">
        <f t="shared" ref="A26:B34" si="2">A12</f>
        <v>-2</v>
      </c>
      <c r="B26" s="184">
        <f t="shared" si="2"/>
        <v>1</v>
      </c>
      <c r="C26" s="184">
        <f>IF(A26&lt;0,($F$6+A26)/$F$6,0)</f>
        <v>0.6</v>
      </c>
      <c r="D26" s="184">
        <f t="shared" ref="D26:D34" si="3">B26*C26</f>
        <v>0.6</v>
      </c>
      <c r="E26" s="192">
        <f t="shared" si="1"/>
        <v>0.2</v>
      </c>
      <c r="F26" s="185"/>
      <c r="G26" s="185"/>
      <c r="H26" s="185"/>
      <c r="I26" s="185"/>
    </row>
    <row r="27" spans="1:9" s="186" customFormat="1" ht="14">
      <c r="A27" s="187">
        <f t="shared" si="2"/>
        <v>-3</v>
      </c>
      <c r="B27" s="184">
        <f t="shared" si="2"/>
        <v>0.9</v>
      </c>
      <c r="C27" s="184">
        <f>IF(A27&lt;0,($F$6+A27)/$F$6,0)</f>
        <v>0.4</v>
      </c>
      <c r="D27" s="184">
        <f t="shared" si="3"/>
        <v>0.36000000000000004</v>
      </c>
      <c r="E27" s="192">
        <f t="shared" si="1"/>
        <v>0.18</v>
      </c>
      <c r="F27" s="185"/>
      <c r="G27" s="185"/>
      <c r="H27" s="185"/>
      <c r="I27" s="185"/>
    </row>
    <row r="28" spans="1:9" s="186" customFormat="1" ht="14">
      <c r="A28" s="187">
        <f t="shared" si="2"/>
        <v>-4</v>
      </c>
      <c r="B28" s="184">
        <f t="shared" si="2"/>
        <v>0.7</v>
      </c>
      <c r="C28" s="184">
        <f t="shared" ref="C28:C34" si="4">IF(A28&lt;0,($F$6+A28)/$F$6,0)</f>
        <v>0.2</v>
      </c>
      <c r="D28" s="184">
        <f t="shared" si="3"/>
        <v>0.13999999999999999</v>
      </c>
      <c r="E28" s="192">
        <f t="shared" si="1"/>
        <v>0.13999999999999999</v>
      </c>
      <c r="F28" s="185"/>
      <c r="G28" s="185"/>
      <c r="H28" s="185"/>
      <c r="I28" s="185"/>
    </row>
    <row r="29" spans="1:9" s="186" customFormat="1" ht="14">
      <c r="A29" s="187">
        <f t="shared" si="2"/>
        <v>-5</v>
      </c>
      <c r="B29" s="184">
        <f t="shared" si="2"/>
        <v>0.7</v>
      </c>
      <c r="C29" s="184">
        <f t="shared" si="4"/>
        <v>0</v>
      </c>
      <c r="D29" s="184">
        <f t="shared" si="3"/>
        <v>0</v>
      </c>
      <c r="E29" s="192">
        <f t="shared" si="1"/>
        <v>0.13999999999999999</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2.54</v>
      </c>
      <c r="E35" s="25">
        <f>SUM(E25:E34)</f>
        <v>0.82000000000000006</v>
      </c>
    </row>
    <row r="36" spans="1:9" ht="13" thickBot="1"/>
    <row r="37" spans="1:9" s="8" customFormat="1" ht="15" thickBot="1">
      <c r="A37" s="8" t="s">
        <v>423</v>
      </c>
      <c r="D37" s="195">
        <f>E35</f>
        <v>0.82000000000000006</v>
      </c>
    </row>
    <row r="38" spans="1:9" s="8" customFormat="1" ht="15" thickBot="1"/>
    <row r="39" spans="1:9" s="8" customFormat="1" ht="14">
      <c r="A39" s="8" t="s">
        <v>424</v>
      </c>
      <c r="D39" s="196">
        <f>F7-D37</f>
        <v>-2.0000000000000018E-2</v>
      </c>
      <c r="E39" s="8" t="s">
        <v>425</v>
      </c>
    </row>
    <row r="40" spans="1:9" ht="14">
      <c r="A40" t="s">
        <v>426</v>
      </c>
      <c r="D40" s="197">
        <f>D39*'Input sheet'!B22</f>
        <v>-5.0000000000000044E-3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topLeftCell="A7" zoomScale="125" zoomScaleNormal="125" workbookViewId="0">
      <selection activeCell="F33" sqref="F3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810</v>
      </c>
    </row>
    <row r="5" spans="1:11" s="15" customFormat="1" ht="14">
      <c r="A5" s="15" t="s">
        <v>119</v>
      </c>
    </row>
    <row r="6" spans="1:11" s="8" customFormat="1" ht="14">
      <c r="A6" s="30" t="s">
        <v>120</v>
      </c>
      <c r="B6" s="30" t="s">
        <v>121</v>
      </c>
      <c r="C6" s="8" t="s">
        <v>122</v>
      </c>
    </row>
    <row r="7" spans="1:11" s="8" customFormat="1" ht="14">
      <c r="A7" s="30">
        <v>1</v>
      </c>
      <c r="B7" s="327">
        <v>810</v>
      </c>
    </row>
    <row r="8" spans="1:11" s="8" customFormat="1" ht="14">
      <c r="A8" s="30">
        <v>2</v>
      </c>
      <c r="B8" s="327">
        <v>927</v>
      </c>
    </row>
    <row r="9" spans="1:11" s="8" customFormat="1" ht="14">
      <c r="A9" s="30">
        <v>3</v>
      </c>
      <c r="B9" s="327">
        <v>872</v>
      </c>
    </row>
    <row r="10" spans="1:11" s="8" customFormat="1" ht="14">
      <c r="A10" s="30">
        <v>4</v>
      </c>
      <c r="B10" s="327">
        <v>811</v>
      </c>
    </row>
    <row r="11" spans="1:11" s="8" customFormat="1" ht="14">
      <c r="A11" s="30">
        <v>5</v>
      </c>
      <c r="B11" s="327">
        <v>1365</v>
      </c>
    </row>
    <row r="12" spans="1:11" s="8" customFormat="1" ht="14">
      <c r="A12" s="30" t="s">
        <v>123</v>
      </c>
      <c r="B12" s="326">
        <v>3550</v>
      </c>
    </row>
    <row r="13" spans="1:11" s="8" customFormat="1" ht="14"/>
    <row r="14" spans="1:11" s="31" customFormat="1" ht="17" thickBot="1">
      <c r="A14" s="31" t="s">
        <v>124</v>
      </c>
    </row>
    <row r="15" spans="1:11" s="8" customFormat="1" ht="15" thickBot="1">
      <c r="A15" s="8" t="s">
        <v>125</v>
      </c>
      <c r="C15" s="80">
        <f>'Cost of capital worksheet'!B25</f>
        <v>7.0699999999999999E-2</v>
      </c>
      <c r="D15" s="8" t="s">
        <v>237</v>
      </c>
    </row>
    <row r="16" spans="1:11" s="8" customFormat="1" ht="14"/>
    <row r="17" spans="1:7" s="8" customFormat="1" ht="14">
      <c r="D17" s="34"/>
    </row>
    <row r="18" spans="1:7" s="8" customFormat="1" ht="14">
      <c r="A18" s="8" t="s">
        <v>126</v>
      </c>
      <c r="D18" s="35">
        <f>IF(B12&gt;0,ROUND(B12/AVERAGE(B7:B11),0),0)</f>
        <v>4</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810</v>
      </c>
      <c r="C22" s="9">
        <f>B22/(1+$C$15)^A22</f>
        <v>756.5144298122724</v>
      </c>
    </row>
    <row r="23" spans="1:7" s="8" customFormat="1" ht="14">
      <c r="A23" s="19">
        <f t="shared" ref="A23:B26" si="0">A8</f>
        <v>2</v>
      </c>
      <c r="B23" s="28">
        <f t="shared" si="0"/>
        <v>927</v>
      </c>
      <c r="C23" s="9">
        <f>B23/(1+$C$15)^A23</f>
        <v>808.61934840824858</v>
      </c>
    </row>
    <row r="24" spans="1:7" s="8" customFormat="1" ht="14">
      <c r="A24" s="19">
        <f t="shared" si="0"/>
        <v>3</v>
      </c>
      <c r="B24" s="28">
        <f t="shared" si="0"/>
        <v>872</v>
      </c>
      <c r="C24" s="9">
        <f>B24/(1+$C$15)^A24</f>
        <v>710.41656081388123</v>
      </c>
    </row>
    <row r="25" spans="1:7" s="8" customFormat="1" ht="14">
      <c r="A25" s="19">
        <f t="shared" si="0"/>
        <v>4</v>
      </c>
      <c r="B25" s="28">
        <f t="shared" si="0"/>
        <v>811</v>
      </c>
      <c r="C25" s="9">
        <f>B25/(1+$C$15)^A25</f>
        <v>617.09161247085387</v>
      </c>
    </row>
    <row r="26" spans="1:7" s="8" customFormat="1" ht="14">
      <c r="A26" s="19">
        <f t="shared" si="0"/>
        <v>5</v>
      </c>
      <c r="B26" s="28">
        <f t="shared" si="0"/>
        <v>1365</v>
      </c>
      <c r="C26" s="9">
        <f>B26/(1+$C$15)^A26</f>
        <v>970.04892338857962</v>
      </c>
    </row>
    <row r="27" spans="1:7" s="8" customFormat="1" ht="15" thickBot="1">
      <c r="A27" s="36" t="str">
        <f>A12</f>
        <v>6 and beyond</v>
      </c>
      <c r="B27" s="37">
        <f>IF(B12&gt;0,IF(D18&gt;0,B12/D18,B12),0)</f>
        <v>887.5</v>
      </c>
      <c r="C27" s="38">
        <f>IF(D18&gt;0,(B27*(1-(1+C15)^(-D18))/C15)/(1+$C$15)^5,B27/(1+C15)^6)</f>
        <v>2132.9745582156888</v>
      </c>
      <c r="D27" s="8" t="s">
        <v>131</v>
      </c>
    </row>
    <row r="28" spans="1:7" s="8" customFormat="1" ht="15" thickBot="1">
      <c r="A28" s="32" t="s">
        <v>132</v>
      </c>
      <c r="B28" s="39"/>
      <c r="C28" s="40">
        <f>SUM(C22:C27)</f>
        <v>5995.6654331095242</v>
      </c>
    </row>
    <row r="29" spans="1:7" s="8" customFormat="1" ht="14"/>
    <row r="30" spans="1:7" s="8" customFormat="1" ht="14">
      <c r="A30" s="15" t="s">
        <v>133</v>
      </c>
    </row>
    <row r="31" spans="1:7" s="8" customFormat="1" ht="15" thickBot="1">
      <c r="A31" s="8" t="s">
        <v>134</v>
      </c>
      <c r="F31" s="38">
        <f>C28/(5+D18)</f>
        <v>666.18504812328047</v>
      </c>
      <c r="G31" s="8" t="s">
        <v>135</v>
      </c>
    </row>
    <row r="32" spans="1:7" s="8" customFormat="1" ht="15" thickBot="1">
      <c r="A32" s="8" t="s">
        <v>136</v>
      </c>
      <c r="F32" s="81">
        <f>E4-F31</f>
        <v>143.81495187671953</v>
      </c>
      <c r="G32" s="8" t="s">
        <v>138</v>
      </c>
    </row>
    <row r="33" spans="1:7" s="8" customFormat="1" ht="15" thickBot="1">
      <c r="A33" s="8" t="s">
        <v>137</v>
      </c>
      <c r="F33" s="41">
        <f>C28</f>
        <v>5995.6654331095242</v>
      </c>
      <c r="G33" s="8" t="s">
        <v>139</v>
      </c>
    </row>
    <row r="34" spans="1:7" ht="14">
      <c r="A34" s="8" t="s">
        <v>498</v>
      </c>
      <c r="F34" s="241">
        <f>C28/(5+D18)</f>
        <v>666.18504812328047</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2020-01-15T05:27:19Z</dcterms:modified>
</cp:coreProperties>
</file>